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30" windowWidth="18765" windowHeight="11220" activeTab="1"/>
  </bookViews>
  <sheets>
    <sheet name="SteamReforming" sheetId="1" r:id="rId1"/>
    <sheet name="COShift" sheetId="2" r:id="rId2"/>
    <sheet name="Thermophysical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OMP_OR.GB101">#REF!</definedName>
    <definedName name="COMP_OR.GB301A">#REF!</definedName>
    <definedName name="COMP_OR.GB301B">#REF!</definedName>
    <definedName name="ea">#REF!</definedName>
    <definedName name="EA_505.ST1">#REF!</definedName>
    <definedName name="EA_505.TT1">#REF!</definedName>
    <definedName name="eb">#REF!</definedName>
    <definedName name="f1">'[4]GB101'!#REF!</definedName>
    <definedName name="f2">#REF!</definedName>
    <definedName name="f3">#REF!</definedName>
    <definedName name="fan">'[4]GB101'!#REF!</definedName>
    <definedName name="FAN.GB201A">'[1]GB101'!#REF!</definedName>
    <definedName name="FAN.GB201B">'[1]GB101'!#REF!</definedName>
    <definedName name="FAN.GB202B">'[1]GB101'!#REF!</definedName>
    <definedName name="fbn">'[4]GB101'!#REF!</definedName>
    <definedName name="M_FA603.FA603">'[2]FAFBWORK'!#REF!</definedName>
    <definedName name="PRINT_AREA_MI">#REF!</definedName>
    <definedName name="PUMP.GA301A">'[2]GAWORK'!#REF!</definedName>
    <definedName name="PUMP.GA301B">'[2]GAWORK'!#REF!</definedName>
    <definedName name="PUMP.GA501A">'[2]GAWORK'!#REF!</definedName>
    <definedName name="PUMP.GA501B">'[2]GAWORK'!#REF!</definedName>
    <definedName name="PUMP.GA502A">'[2]GAWORK'!#REF!</definedName>
    <definedName name="PUMP.GA502B">'[2]GAWORK'!#REF!</definedName>
    <definedName name="PUMP.GA502C">'[2]GAWORK'!#REF!</definedName>
    <definedName name="PUMP.GA503A">'[2]GAWORK'!#REF!</definedName>
    <definedName name="PUMP.GA503B">'[2]GAWORK'!#REF!</definedName>
    <definedName name="PUMP.GA503C">'[2]GAWORK'!#REF!</definedName>
    <definedName name="PUMP.GA504A">'[2]GAWORK'!#REF!</definedName>
    <definedName name="PUMP.GA504B">'[2]GAWORK'!#REF!</definedName>
    <definedName name="PUMP.GA504C">'[2]GAWORK'!#REF!</definedName>
    <definedName name="PUMP.GA505A">'[2]GAWORK'!#REF!</definedName>
    <definedName name="PUMP.GA505B">'[2]GAWORK'!#REF!</definedName>
    <definedName name="PUMP.GA505C">'[2]GAWORK'!#REF!</definedName>
    <definedName name="PUMP.GA507A">'[2]GAWORK'!#REF!</definedName>
    <definedName name="PUMP.GA507B">'[2]GAWORK'!#REF!</definedName>
    <definedName name="PUMP.GA507C">'[2]GAWORK'!#REF!</definedName>
    <definedName name="PUMP.GA508A">'[1]GA500'!#REF!</definedName>
    <definedName name="PUMP.GA508C">'[1]GA500'!#REF!</definedName>
    <definedName name="PUMP.GA509A">'[1]GA500'!#REF!</definedName>
    <definedName name="PUMP.GA509B">'[1]GA500'!#REF!</definedName>
    <definedName name="PUMP.GA509C">'[1]GA500'!#REF!</definedName>
    <definedName name="PUMP.GA510A">'[1]GA500'!#REF!</definedName>
    <definedName name="PUMP.GA510C">'[1]GA500'!#REF!</definedName>
  </definedNames>
  <calcPr fullCalcOnLoad="1"/>
</workbook>
</file>

<file path=xl/sharedStrings.xml><?xml version="1.0" encoding="utf-8"?>
<sst xmlns="http://schemas.openxmlformats.org/spreadsheetml/2006/main" count="272" uniqueCount="149">
  <si>
    <t>反応物</t>
  </si>
  <si>
    <t>生成物</t>
  </si>
  <si>
    <t>モル数</t>
  </si>
  <si>
    <t>標準エンタルピー変化</t>
  </si>
  <si>
    <t>積分定数</t>
  </si>
  <si>
    <t>温度</t>
  </si>
  <si>
    <t>平衡定数</t>
  </si>
  <si>
    <t>CO</t>
  </si>
  <si>
    <t>a</t>
  </si>
  <si>
    <t>g</t>
  </si>
  <si>
    <t>反応物と生成物のモル数をインプットする</t>
  </si>
  <si>
    <t>反応物と生成物の化学式をインプットする</t>
  </si>
  <si>
    <t>標準生成自由エネルギー変化</t>
  </si>
  <si>
    <t>標準生成熱変化</t>
  </si>
  <si>
    <t>標準自由エネルギー変化</t>
  </si>
  <si>
    <t>標準反応熱変化</t>
  </si>
  <si>
    <t>標準自由エネルギー変化を計算する</t>
  </si>
  <si>
    <t>標準反応熱変化を計算する</t>
  </si>
  <si>
    <t>低圧モル比熱係数変化（Δa）を計算する</t>
  </si>
  <si>
    <t>低圧モル比熱係数変化（Δb）を計算する</t>
  </si>
  <si>
    <t>低圧モル比熱係数変化（Δc）を計算する</t>
  </si>
  <si>
    <t>標準エンタルピー変化を計算する</t>
  </si>
  <si>
    <t>ガス定数</t>
  </si>
  <si>
    <t>絶対温度＠25℃</t>
  </si>
  <si>
    <t>ガス定数をインプットする（固定値）</t>
  </si>
  <si>
    <t>絶対温度＠25℃をインプットする（固定値）</t>
  </si>
  <si>
    <t>積分定数を計算する</t>
  </si>
  <si>
    <t>絶対温度</t>
  </si>
  <si>
    <t>各成分の標準生成エネルギー変化をインプットする（物性表より自動選択）</t>
  </si>
  <si>
    <t>各成分の標準生成熱変化をインプットする（物性表より自動選択）</t>
  </si>
  <si>
    <t>各成分のモル比熱係数aをインプットする（物性表より自動選択）</t>
  </si>
  <si>
    <t>各成分のモル比熱係数bをインプットする（物性表より自動選択）</t>
  </si>
  <si>
    <t>各成分のモル比熱係数cをインプットする（物性表より自動選択）</t>
  </si>
  <si>
    <t>各温度における平衡定数</t>
  </si>
  <si>
    <t>dummy</t>
  </si>
  <si>
    <t>A</t>
  </si>
  <si>
    <t>B</t>
  </si>
  <si>
    <t>C</t>
  </si>
  <si>
    <t>D</t>
  </si>
  <si>
    <t>標準エントロピー変化</t>
  </si>
  <si>
    <t>絶対エントロピー</t>
  </si>
  <si>
    <t>dummy</t>
  </si>
  <si>
    <t>E</t>
  </si>
  <si>
    <t>kJ/mol</t>
  </si>
  <si>
    <t>J/mol K</t>
  </si>
  <si>
    <t>ln(K)を計算する</t>
  </si>
  <si>
    <r>
      <t>CO</t>
    </r>
    <r>
      <rPr>
        <vertAlign val="subscript"/>
        <sz val="10"/>
        <rFont val="ＭＳ Ｐゴシック"/>
        <family val="3"/>
      </rPr>
      <t>2</t>
    </r>
  </si>
  <si>
    <r>
      <t>H</t>
    </r>
    <r>
      <rPr>
        <vertAlign val="subscript"/>
        <sz val="10"/>
        <rFont val="ＭＳ Ｐゴシック"/>
        <family val="3"/>
      </rPr>
      <t>2</t>
    </r>
  </si>
  <si>
    <r>
      <t>CH</t>
    </r>
    <r>
      <rPr>
        <vertAlign val="subscript"/>
        <sz val="10"/>
        <rFont val="ＭＳ Ｐゴシック"/>
        <family val="3"/>
      </rPr>
      <t>4</t>
    </r>
  </si>
  <si>
    <r>
      <t>H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O</t>
    </r>
  </si>
  <si>
    <r>
      <t>ΔH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</si>
  <si>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r>
      <t>ΔG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</si>
  <si>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F</t>
  </si>
  <si>
    <t>CO</t>
  </si>
  <si>
    <t>H2</t>
  </si>
  <si>
    <t>①</t>
  </si>
  <si>
    <r>
      <t>ΔG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</si>
  <si>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③</t>
  </si>
  <si>
    <r>
      <t>ΔH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</si>
  <si>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④</t>
  </si>
  <si>
    <r>
      <t>S</t>
    </r>
    <r>
      <rPr>
        <vertAlign val="subscript"/>
        <sz val="10"/>
        <rFont val="ＭＳ Ｐゴシック"/>
        <family val="3"/>
      </rPr>
      <t>O</t>
    </r>
  </si>
  <si>
    <t>⑤</t>
  </si>
  <si>
    <t>⑥</t>
  </si>
  <si>
    <t>⑦</t>
  </si>
  <si>
    <r>
      <t>ΔG</t>
    </r>
    <r>
      <rPr>
        <vertAlign val="superscript"/>
        <sz val="10"/>
        <rFont val="ＭＳ Ｐゴシック"/>
        <family val="3"/>
      </rPr>
      <t>O</t>
    </r>
  </si>
  <si>
    <t>⑧</t>
  </si>
  <si>
    <r>
      <t>ΔH</t>
    </r>
    <r>
      <rPr>
        <vertAlign val="subscript"/>
        <sz val="10"/>
        <rFont val="ＭＳ Ｐゴシック"/>
        <family val="3"/>
      </rPr>
      <t>298</t>
    </r>
    <r>
      <rPr>
        <vertAlign val="superscript"/>
        <sz val="10"/>
        <rFont val="ＭＳ Ｐゴシック"/>
        <family val="3"/>
      </rPr>
      <t>O</t>
    </r>
  </si>
  <si>
    <t>⑨</t>
  </si>
  <si>
    <r>
      <t>ΔS</t>
    </r>
    <r>
      <rPr>
        <vertAlign val="subscript"/>
        <sz val="10"/>
        <rFont val="ＭＳ Ｐゴシック"/>
        <family val="3"/>
      </rPr>
      <t>O</t>
    </r>
  </si>
  <si>
    <t>Δa</t>
  </si>
  <si>
    <t>⑩</t>
  </si>
  <si>
    <t>Δb</t>
  </si>
  <si>
    <t>⑪</t>
  </si>
  <si>
    <t>Δc</t>
  </si>
  <si>
    <t>⑫</t>
  </si>
  <si>
    <r>
      <t>ΔH</t>
    </r>
    <r>
      <rPr>
        <vertAlign val="superscript"/>
        <sz val="10"/>
        <rFont val="ＭＳ Ｐゴシック"/>
        <family val="3"/>
      </rPr>
      <t>O</t>
    </r>
  </si>
  <si>
    <t>⑬</t>
  </si>
  <si>
    <t>ln(K)</t>
  </si>
  <si>
    <r>
      <t>-ΔG</t>
    </r>
    <r>
      <rPr>
        <vertAlign val="superscript"/>
        <sz val="10"/>
        <rFont val="ＭＳ Ｐゴシック"/>
        <family val="3"/>
      </rPr>
      <t>o</t>
    </r>
    <r>
      <rPr>
        <sz val="10"/>
        <rFont val="ＭＳ Ｐゴシック"/>
        <family val="3"/>
      </rPr>
      <t>/RT</t>
    </r>
  </si>
  <si>
    <t>⑭</t>
  </si>
  <si>
    <t>R</t>
  </si>
  <si>
    <t>⑮</t>
  </si>
  <si>
    <t>T</t>
  </si>
  <si>
    <t>⑯</t>
  </si>
  <si>
    <t>C</t>
  </si>
  <si>
    <t>⑰</t>
  </si>
  <si>
    <t>deg.C</t>
  </si>
  <si>
    <t>deg.K</t>
  </si>
  <si>
    <t>ln(K)</t>
  </si>
  <si>
    <t>K</t>
  </si>
  <si>
    <t>℃</t>
  </si>
  <si>
    <r>
      <t>O</t>
    </r>
    <r>
      <rPr>
        <sz val="10"/>
        <rFont val="ＭＳ Ｐゴシック"/>
        <family val="3"/>
      </rPr>
      <t>Ｋ</t>
    </r>
  </si>
  <si>
    <t>Kp</t>
  </si>
  <si>
    <t>ln(K)</t>
  </si>
  <si>
    <t>H2O</t>
  </si>
  <si>
    <t>kJ/mol</t>
  </si>
  <si>
    <t>CH4</t>
  </si>
  <si>
    <t>n</t>
  </si>
  <si>
    <t>②</t>
  </si>
  <si>
    <t>kJ/mol</t>
  </si>
  <si>
    <t>dummy</t>
  </si>
  <si>
    <r>
      <t>S</t>
    </r>
    <r>
      <rPr>
        <vertAlign val="subscript"/>
        <sz val="10"/>
        <rFont val="ＭＳ Ｐゴシック"/>
        <family val="3"/>
      </rPr>
      <t>O</t>
    </r>
  </si>
  <si>
    <t>b</t>
  </si>
  <si>
    <t>c</t>
  </si>
  <si>
    <t>d</t>
  </si>
  <si>
    <t>e</t>
  </si>
  <si>
    <r>
      <t>C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= a+bT+cT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+dT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+eT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 (J/mol-K,T-K)</t>
    </r>
  </si>
  <si>
    <t>モル比熱係数a</t>
  </si>
  <si>
    <t>モル比熱係数b</t>
  </si>
  <si>
    <t>モル比熱係数c</t>
  </si>
  <si>
    <t>モル比熱係数d</t>
  </si>
  <si>
    <t>モル比熱係数e</t>
  </si>
  <si>
    <t>モル比熱係数変化</t>
  </si>
  <si>
    <t>Δd</t>
  </si>
  <si>
    <t>Δe</t>
  </si>
  <si>
    <t>J/mol</t>
  </si>
  <si>
    <t>K</t>
  </si>
  <si>
    <t>Phase</t>
  </si>
  <si>
    <t>Component</t>
  </si>
  <si>
    <t>n</t>
  </si>
  <si>
    <t>②</t>
  </si>
  <si>
    <t>J/molK</t>
  </si>
  <si>
    <t>J/molK</t>
  </si>
  <si>
    <t>⑤</t>
  </si>
  <si>
    <t>⑥</t>
  </si>
  <si>
    <t>⑦</t>
  </si>
  <si>
    <t>kJ/mol</t>
  </si>
  <si>
    <t>kJ/mol</t>
  </si>
  <si>
    <t>J/molK</t>
  </si>
  <si>
    <t>Δa</t>
  </si>
  <si>
    <t>⑩</t>
  </si>
  <si>
    <t>Δb</t>
  </si>
  <si>
    <t>⑪</t>
  </si>
  <si>
    <t>Δc</t>
  </si>
  <si>
    <t>⑫</t>
  </si>
  <si>
    <t>Δd</t>
  </si>
  <si>
    <t>Δe</t>
  </si>
  <si>
    <t>J/mol</t>
  </si>
  <si>
    <t>K</t>
  </si>
  <si>
    <t>CO2</t>
  </si>
  <si>
    <t>H2</t>
  </si>
  <si>
    <t>参考</t>
  </si>
  <si>
    <t>スタート温度</t>
  </si>
  <si>
    <t>温度変化</t>
  </si>
  <si>
    <r>
      <t>(10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/deg.K)－1</t>
    </r>
  </si>
  <si>
    <t>出展：</t>
  </si>
  <si>
    <t>Ｃｈｅｍｉｃａｌ　Ｐｒｏｐｅｒｔｉｅｓ　Ｈａｎｄｂｏｏｋ,  by Carl L. Yaws</t>
  </si>
  <si>
    <r>
      <t>ΔH</t>
    </r>
    <r>
      <rPr>
        <vertAlign val="subscript"/>
        <sz val="10"/>
        <rFont val="ＭＳ Ｐゴシック"/>
        <family val="3"/>
      </rPr>
      <t>O</t>
    </r>
  </si>
  <si>
    <t>J/mol-K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</si>
</sst>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%"/>
    <numFmt numFmtId="178" formatCode="0.0"/>
    <numFmt numFmtId="179" formatCode="0.0000"/>
    <numFmt numFmtId="180" formatCode="0.000"/>
    <numFmt numFmtId="181" formatCode="0.0000_ "/>
    <numFmt numFmtId="182" formatCode="0.000E+00"/>
    <numFmt numFmtId="183" formatCode="#,##0.0000;[Red]\-#,##0.0000"/>
    <numFmt numFmtId="184" formatCode="0.00000E+00"/>
    <numFmt numFmtId="185" formatCode="0.0_ "/>
    <numFmt numFmtId="186" formatCode="0.000_ "/>
    <numFmt numFmtId="187" formatCode="0.00_ "/>
    <numFmt numFmtId="188" formatCode="0_ "/>
    <numFmt numFmtId="189" formatCode="0.0000_ ;[Red]\-0.0000\ "/>
    <numFmt numFmtId="190" formatCode="0.E+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vertAlign val="superscript"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183" fontId="6" fillId="0" borderId="12" xfId="17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2" borderId="7" xfId="0" applyFont="1" applyFill="1" applyBorder="1" applyAlignment="1">
      <alignment/>
    </xf>
    <xf numFmtId="183" fontId="6" fillId="0" borderId="13" xfId="17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80" fontId="6" fillId="0" borderId="13" xfId="0" applyNumberFormat="1" applyFont="1" applyBorder="1" applyAlignment="1">
      <alignment horizontal="right"/>
    </xf>
    <xf numFmtId="0" fontId="6" fillId="2" borderId="5" xfId="0" applyFont="1" applyFill="1" applyBorder="1" applyAlignment="1" quotePrefix="1">
      <alignment/>
    </xf>
    <xf numFmtId="179" fontId="6" fillId="0" borderId="13" xfId="0" applyNumberFormat="1" applyFont="1" applyBorder="1" applyAlignment="1">
      <alignment horizontal="right"/>
    </xf>
    <xf numFmtId="0" fontId="6" fillId="2" borderId="10" xfId="0" applyFont="1" applyFill="1" applyBorder="1" applyAlignment="1">
      <alignment/>
    </xf>
    <xf numFmtId="179" fontId="6" fillId="0" borderId="14" xfId="0" applyNumberFormat="1" applyFont="1" applyBorder="1" applyAlignment="1">
      <alignment horizontal="right"/>
    </xf>
    <xf numFmtId="11" fontId="6" fillId="0" borderId="14" xfId="0" applyNumberFormat="1" applyFont="1" applyBorder="1" applyAlignment="1">
      <alignment/>
    </xf>
    <xf numFmtId="11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1" fontId="6" fillId="0" borderId="5" xfId="0" applyNumberFormat="1" applyFont="1" applyBorder="1" applyAlignment="1">
      <alignment horizontal="center"/>
    </xf>
    <xf numFmtId="11" fontId="6" fillId="0" borderId="5" xfId="15" applyNumberFormat="1" applyFont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76" fontId="6" fillId="0" borderId="0" xfId="17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6" fillId="0" borderId="0" xfId="17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189" fontId="6" fillId="0" borderId="5" xfId="0" applyNumberFormat="1" applyFont="1" applyBorder="1" applyAlignment="1">
      <alignment horizontal="right" vertical="center" wrapText="1"/>
    </xf>
    <xf numFmtId="187" fontId="6" fillId="3" borderId="5" xfId="0" applyNumberFormat="1" applyFont="1" applyFill="1" applyBorder="1" applyAlignment="1">
      <alignment horizontal="right" vertical="center" wrapText="1"/>
    </xf>
    <xf numFmtId="187" fontId="6" fillId="3" borderId="5" xfId="17" applyNumberFormat="1" applyFont="1" applyFill="1" applyBorder="1" applyAlignment="1">
      <alignment horizontal="right" vertical="center" wrapText="1"/>
    </xf>
    <xf numFmtId="186" fontId="6" fillId="3" borderId="5" xfId="0" applyNumberFormat="1" applyFont="1" applyFill="1" applyBorder="1" applyAlignment="1">
      <alignment horizontal="right" vertical="center" wrapText="1"/>
    </xf>
    <xf numFmtId="186" fontId="6" fillId="3" borderId="5" xfId="17" applyNumberFormat="1" applyFont="1" applyFill="1" applyBorder="1" applyAlignment="1">
      <alignment horizontal="right" vertical="center" wrapText="1"/>
    </xf>
    <xf numFmtId="187" fontId="3" fillId="3" borderId="5" xfId="0" applyNumberFormat="1" applyFont="1" applyFill="1" applyBorder="1" applyAlignment="1">
      <alignment horizontal="right" vertical="center" wrapText="1"/>
    </xf>
    <xf numFmtId="11" fontId="6" fillId="0" borderId="18" xfId="17" applyNumberFormat="1" applyFont="1" applyFill="1" applyBorder="1" applyAlignment="1">
      <alignment horizontal="right"/>
    </xf>
    <xf numFmtId="186" fontId="6" fillId="0" borderId="18" xfId="17" applyNumberFormat="1" applyFont="1" applyFill="1" applyBorder="1" applyAlignment="1">
      <alignment horizontal="right"/>
    </xf>
    <xf numFmtId="186" fontId="6" fillId="0" borderId="4" xfId="17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86" fontId="6" fillId="0" borderId="13" xfId="17" applyNumberFormat="1" applyFont="1" applyFill="1" applyBorder="1" applyAlignment="1">
      <alignment horizontal="right"/>
    </xf>
    <xf numFmtId="11" fontId="6" fillId="0" borderId="4" xfId="17" applyNumberFormat="1" applyFont="1" applyFill="1" applyBorder="1" applyAlignment="1">
      <alignment horizontal="right"/>
    </xf>
    <xf numFmtId="11" fontId="6" fillId="0" borderId="13" xfId="17" applyNumberFormat="1" applyFont="1" applyFill="1" applyBorder="1" applyAlignment="1">
      <alignment horizontal="right"/>
    </xf>
    <xf numFmtId="11" fontId="6" fillId="0" borderId="8" xfId="17" applyNumberFormat="1" applyFont="1" applyFill="1" applyBorder="1" applyAlignment="1">
      <alignment horizontal="right"/>
    </xf>
    <xf numFmtId="11" fontId="6" fillId="0" borderId="19" xfId="17" applyNumberFormat="1" applyFont="1" applyFill="1" applyBorder="1" applyAlignment="1">
      <alignment horizontal="right"/>
    </xf>
    <xf numFmtId="11" fontId="6" fillId="0" borderId="14" xfId="17" applyNumberFormat="1" applyFont="1" applyFill="1" applyBorder="1" applyAlignment="1">
      <alignment horizontal="right"/>
    </xf>
    <xf numFmtId="11" fontId="6" fillId="0" borderId="13" xfId="0" applyNumberFormat="1" applyFont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11" fontId="6" fillId="0" borderId="13" xfId="17" applyNumberFormat="1" applyFont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179" fontId="6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81" fontId="6" fillId="5" borderId="5" xfId="0" applyNumberFormat="1" applyFont="1" applyFill="1" applyBorder="1" applyAlignment="1">
      <alignment/>
    </xf>
    <xf numFmtId="177" fontId="6" fillId="0" borderId="5" xfId="15" applyNumberFormat="1" applyFont="1" applyBorder="1" applyAlignment="1">
      <alignment horizontal="center"/>
    </xf>
    <xf numFmtId="181" fontId="6" fillId="0" borderId="5" xfId="0" applyNumberFormat="1" applyFont="1" applyBorder="1" applyAlignment="1">
      <alignment horizontal="center"/>
    </xf>
    <xf numFmtId="186" fontId="6" fillId="0" borderId="0" xfId="0" applyNumberFormat="1" applyFont="1" applyAlignment="1">
      <alignment horizontal="center"/>
    </xf>
    <xf numFmtId="0" fontId="6" fillId="3" borderId="5" xfId="0" applyFont="1" applyFill="1" applyBorder="1" applyAlignment="1">
      <alignment horizontal="right" indent="1"/>
    </xf>
    <xf numFmtId="0" fontId="6" fillId="5" borderId="5" xfId="0" applyFont="1" applyFill="1" applyBorder="1" applyAlignment="1">
      <alignment horizontal="center" shrinkToFit="1"/>
    </xf>
    <xf numFmtId="11" fontId="6" fillId="3" borderId="5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78" fontId="6" fillId="2" borderId="6" xfId="0" applyNumberFormat="1" applyFont="1" applyFill="1" applyBorder="1" applyAlignment="1">
      <alignment horizontal="left" vertical="center"/>
    </xf>
    <xf numFmtId="178" fontId="6" fillId="2" borderId="22" xfId="0" applyNumberFormat="1" applyFont="1" applyFill="1" applyBorder="1" applyAlignment="1">
      <alignment horizontal="left" vertical="center"/>
    </xf>
    <xf numFmtId="178" fontId="6" fillId="2" borderId="18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平衡定数近似式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75"/>
          <c:w val="0.93975"/>
          <c:h val="0.79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SteamReforming!$H$41</c:f>
              <c:strCache>
                <c:ptCount val="1"/>
                <c:pt idx="0">
                  <c:v>ln(K)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E+00"/>
              <c:spPr>
                <a:solidFill>
                  <a:srgbClr val="FFFFCC"/>
                </a:solidFill>
                <a:ln w="3175">
                  <a:solidFill/>
                </a:ln>
              </c:spPr>
            </c:trendlineLbl>
          </c:trendline>
          <c:xVal>
            <c:numRef>
              <c:f>SteamReforming!$G$42:$G$72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SteamReforming!$H$42:$H$72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379042"/>
        <c:axId val="9084787"/>
      </c:scatterChart>
      <c:valAx>
        <c:axId val="23379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変形絶対温度((10</a:t>
                </a:r>
                <a:r>
                  <a:rPr lang="en-US" cap="none" sz="10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/deg.K)－1)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low"/>
        <c:crossAx val="9084787"/>
        <c:crosses val="autoZero"/>
        <c:crossBetween val="midCat"/>
        <c:dispUnits/>
      </c:valAx>
      <c:valAx>
        <c:axId val="908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ln(K)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23379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水蒸気改質反応平衡定数 Kp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9"/>
          <c:w val="0.938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SteamReforming!$F$41</c:f>
              <c:strCache>
                <c:ptCount val="1"/>
                <c:pt idx="0">
                  <c:v>Kp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SteamReforming!$E$52:$E$72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SteamReforming!$F$52:$F$72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4654220"/>
        <c:axId val="64779117"/>
      </c:scatterChart>
      <c:valAx>
        <c:axId val="14654220"/>
        <c:scaling>
          <c:orientation val="minMax"/>
          <c:max val="18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64779117"/>
        <c:crosses val="autoZero"/>
        <c:crossBetween val="midCat"/>
        <c:dispUnits/>
        <c:majorUnit val="100"/>
      </c:valAx>
      <c:valAx>
        <c:axId val="64779117"/>
        <c:scaling>
          <c:logBase val="10"/>
          <c:orientation val="minMax"/>
          <c:max val="1000000"/>
          <c:min val="0.0001"/>
        </c:scaling>
        <c:axPos val="l"/>
        <c:majorGridlines/>
        <c:delete val="0"/>
        <c:numFmt formatCode="0.E+00" sourceLinked="0"/>
        <c:majorTickMark val="in"/>
        <c:minorTickMark val="none"/>
        <c:tickLblPos val="nextTo"/>
        <c:crossAx val="14654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平衡定数近似式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275"/>
          <c:w val="0.933"/>
          <c:h val="0.80575"/>
        </c:manualLayout>
      </c:layout>
      <c:scatterChart>
        <c:scatterStyle val="lineMarker"/>
        <c:varyColors val="0"/>
        <c:ser>
          <c:idx val="1"/>
          <c:order val="0"/>
          <c:tx>
            <c:strRef>
              <c:f>COShift!$H$41</c:f>
              <c:strCache>
                <c:ptCount val="1"/>
                <c:pt idx="0">
                  <c:v>ln(K)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E+00"/>
              <c:spPr>
                <a:solidFill>
                  <a:srgbClr val="FFFFCC"/>
                </a:solidFill>
                <a:ln w="3175">
                  <a:solidFill/>
                </a:ln>
              </c:spPr>
            </c:trendlineLbl>
          </c:trendline>
          <c:xVal>
            <c:numRef>
              <c:f>COShift!$G$42:$G$72</c:f>
              <c:numCache/>
            </c:numRef>
          </c:xVal>
          <c:yVal>
            <c:numRef>
              <c:f>COShift!$H$42:$H$72</c:f>
              <c:numCache/>
            </c:numRef>
          </c:yVal>
          <c:smooth val="0"/>
        </c:ser>
        <c:axId val="46141142"/>
        <c:axId val="12617095"/>
      </c:scatterChart>
      <c:valAx>
        <c:axId val="461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変形絶対温度((10</a:t>
                </a:r>
                <a:r>
                  <a:rPr lang="en-US" cap="none" sz="10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/deg.K)－1)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low"/>
        <c:crossAx val="12617095"/>
        <c:crosses val="autoZero"/>
        <c:crossBetween val="midCat"/>
        <c:dispUnits/>
      </c:valAx>
      <c:valAx>
        <c:axId val="12617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ln(K)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46141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33</xdr:row>
      <xdr:rowOff>114300</xdr:rowOff>
    </xdr:from>
    <xdr:to>
      <xdr:col>5</xdr:col>
      <xdr:colOff>333375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743325" y="7029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104775</xdr:rowOff>
    </xdr:from>
    <xdr:to>
      <xdr:col>5</xdr:col>
      <xdr:colOff>342900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0" y="70199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35</xdr:row>
      <xdr:rowOff>19050</xdr:rowOff>
    </xdr:from>
    <xdr:to>
      <xdr:col>8</xdr:col>
      <xdr:colOff>542925</xdr:colOff>
      <xdr:row>39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657725" y="7353300"/>
          <a:ext cx="1619250" cy="838200"/>
        </a:xfrm>
        <a:prstGeom prst="wedgeRoundRectCallout">
          <a:avLst>
            <a:gd name="adj1" fmla="val -45712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平衡定数を変形絶対温度の関数として再定義した。この式を物質収支に組み込むことにより、平衡計算を行う。</a:t>
          </a:r>
        </a:p>
      </xdr:txBody>
    </xdr:sp>
    <xdr:clientData/>
  </xdr:twoCellAnchor>
  <xdr:twoCellAnchor>
    <xdr:from>
      <xdr:col>10</xdr:col>
      <xdr:colOff>257175</xdr:colOff>
      <xdr:row>40</xdr:row>
      <xdr:rowOff>95250</xdr:rowOff>
    </xdr:from>
    <xdr:to>
      <xdr:col>17</xdr:col>
      <xdr:colOff>400050</xdr:colOff>
      <xdr:row>61</xdr:row>
      <xdr:rowOff>171450</xdr:rowOff>
    </xdr:to>
    <xdr:graphicFrame>
      <xdr:nvGraphicFramePr>
        <xdr:cNvPr id="4" name="Chart 10"/>
        <xdr:cNvGraphicFramePr/>
      </xdr:nvGraphicFramePr>
      <xdr:xfrm>
        <a:off x="7315200" y="84772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74</xdr:row>
      <xdr:rowOff>114300</xdr:rowOff>
    </xdr:from>
    <xdr:to>
      <xdr:col>17</xdr:col>
      <xdr:colOff>323850</xdr:colOff>
      <xdr:row>100</xdr:row>
      <xdr:rowOff>66675</xdr:rowOff>
    </xdr:to>
    <xdr:graphicFrame>
      <xdr:nvGraphicFramePr>
        <xdr:cNvPr id="5" name="Chart 11"/>
        <xdr:cNvGraphicFramePr/>
      </xdr:nvGraphicFramePr>
      <xdr:xfrm>
        <a:off x="7248525" y="15278100"/>
        <a:ext cx="4819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33</xdr:row>
      <xdr:rowOff>114300</xdr:rowOff>
    </xdr:from>
    <xdr:to>
      <xdr:col>5</xdr:col>
      <xdr:colOff>333375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10000" y="7029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104775</xdr:rowOff>
    </xdr:from>
    <xdr:to>
      <xdr:col>5</xdr:col>
      <xdr:colOff>342900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162425" y="70199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35</xdr:row>
      <xdr:rowOff>19050</xdr:rowOff>
    </xdr:from>
    <xdr:to>
      <xdr:col>8</xdr:col>
      <xdr:colOff>542925</xdr:colOff>
      <xdr:row>39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724400" y="7353300"/>
          <a:ext cx="1619250" cy="838200"/>
        </a:xfrm>
        <a:prstGeom prst="wedgeRoundRectCallout">
          <a:avLst>
            <a:gd name="adj1" fmla="val -45712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平衡定数を変形絶対温度の関数として再定義した。この式を物質収支に組み込むことにより、平衡計算を行う。</a:t>
          </a:r>
        </a:p>
      </xdr:txBody>
    </xdr:sp>
    <xdr:clientData/>
  </xdr:twoCellAnchor>
  <xdr:twoCellAnchor>
    <xdr:from>
      <xdr:col>10</xdr:col>
      <xdr:colOff>161925</xdr:colOff>
      <xdr:row>39</xdr:row>
      <xdr:rowOff>123825</xdr:rowOff>
    </xdr:from>
    <xdr:to>
      <xdr:col>16</xdr:col>
      <xdr:colOff>495300</xdr:colOff>
      <xdr:row>58</xdr:row>
      <xdr:rowOff>200025</xdr:rowOff>
    </xdr:to>
    <xdr:graphicFrame>
      <xdr:nvGraphicFramePr>
        <xdr:cNvPr id="4" name="Chart 4"/>
        <xdr:cNvGraphicFramePr/>
      </xdr:nvGraphicFramePr>
      <xdr:xfrm>
        <a:off x="7286625" y="8296275"/>
        <a:ext cx="4343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12513;&#12479;&#12494;&#12540;&#12523;\Worksheet%20for%20Me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270;&#23398;&#24037;&#23398;\Worksheet\Work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503;&#12525;&#12472;&#12455;&#12463;&#12488;&#36914;&#34892;&#20013;\&#20986;&#20809;&#12456;&#12531;&#12472;&#30465;&#12456;&#12493;\&#27700;&#32032;&#12510;&#12493;&#12472;&#12513;&#12531;&#12488;\ATR&#12500;&#12531;&#124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27700;&#32032;\Worksheet%20for%20H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567;&#26519;&#12288;&#24184;&#21338;\My%20Documents\Dell%20Dimension%208300\&#21270;&#23398;&#24037;&#23398;&#28436;&#32722;\&#26481;&#33437;IS&#12503;&#12525;&#12475;&#12473;&#28436;&#32722;\&#36039;&#26009;\&#30827;&#37240;&#12398;&#33976;&#27671;&#223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Data"/>
      <sheetName val="DA500"/>
      <sheetName val="CG101"/>
      <sheetName val="DC100"/>
      <sheetName val="GB101"/>
      <sheetName val="GB101DS"/>
      <sheetName val="EA100"/>
      <sheetName val="GB301"/>
      <sheetName val="GB301DS"/>
      <sheetName val="EA300"/>
      <sheetName val="FA100"/>
      <sheetName val="GB302"/>
      <sheetName val="GB302DS"/>
      <sheetName val="EA400"/>
      <sheetName val="機器リスト"/>
      <sheetName val="FA400"/>
      <sheetName val="FA300"/>
      <sheetName val="FB500"/>
      <sheetName val="EA500"/>
      <sheetName val="FA500"/>
      <sheetName val="GA500"/>
      <sheetName val="Busei"/>
      <sheetName val="Sheet2"/>
      <sheetName val="Sheet3"/>
      <sheetName val="DC4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CWORK"/>
      <sheetName val="EAECWORK"/>
      <sheetName val="FAFBWORK"/>
      <sheetName val="GAWORK"/>
      <sheetName val="GBGTWOR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R pinch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機器リスト"/>
      <sheetName val="EAHTS"/>
      <sheetName val="CG101"/>
      <sheetName val="DC100"/>
      <sheetName val="Cost Data"/>
      <sheetName val="GB101"/>
      <sheetName val="EA100"/>
      <sheetName val="GB101DS"/>
      <sheetName val="FA100"/>
      <sheetName val="Busei"/>
      <sheetName val="Sheet3"/>
      <sheetName val="FA3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蒸気圧と潜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3:R81"/>
  <sheetViews>
    <sheetView workbookViewId="0" topLeftCell="A1">
      <selection activeCell="K39" sqref="K39"/>
    </sheetView>
  </sheetViews>
  <sheetFormatPr defaultColWidth="9.00390625" defaultRowHeight="13.5"/>
  <cols>
    <col min="1" max="1" width="2.25390625" style="1" customWidth="1"/>
    <col min="2" max="2" width="21.375" style="1" customWidth="1"/>
    <col min="3" max="3" width="8.625" style="1" bestFit="1" customWidth="1"/>
    <col min="4" max="4" width="8.375" style="1" customWidth="1"/>
    <col min="5" max="5" width="8.625" style="1" customWidth="1"/>
    <col min="6" max="6" width="8.375" style="1" customWidth="1"/>
    <col min="7" max="7" width="9.125" style="1" customWidth="1"/>
    <col min="8" max="8" width="8.50390625" style="1" customWidth="1"/>
    <col min="9" max="9" width="8.75390625" style="1" customWidth="1"/>
    <col min="10" max="10" width="8.625" style="2" customWidth="1"/>
    <col min="11" max="14" width="8.625" style="1" customWidth="1"/>
    <col min="15" max="15" width="8.875" style="1" customWidth="1"/>
    <col min="16" max="16" width="9.25390625" style="1" customWidth="1"/>
    <col min="17" max="17" width="8.875" style="1" customWidth="1"/>
    <col min="18" max="18" width="9.125" style="1" customWidth="1"/>
    <col min="19" max="16384" width="9.00390625" style="1" customWidth="1"/>
  </cols>
  <sheetData>
    <row r="1" ht="16.5" customHeight="1"/>
    <row r="2" ht="16.5" customHeight="1" thickBot="1"/>
    <row r="3" spans="2:12" ht="16.5" customHeight="1">
      <c r="B3" s="3"/>
      <c r="C3" s="4"/>
      <c r="D3" s="5"/>
      <c r="E3" s="91" t="s">
        <v>0</v>
      </c>
      <c r="F3" s="92"/>
      <c r="G3" s="93"/>
      <c r="H3" s="91" t="s">
        <v>1</v>
      </c>
      <c r="I3" s="92"/>
      <c r="J3" s="93"/>
      <c r="L3" s="2"/>
    </row>
    <row r="4" spans="2:12" ht="16.5" customHeight="1">
      <c r="B4" s="6"/>
      <c r="C4" s="7"/>
      <c r="D4" s="8"/>
      <c r="E4" s="9" t="s">
        <v>35</v>
      </c>
      <c r="F4" s="10" t="s">
        <v>36</v>
      </c>
      <c r="G4" s="11" t="s">
        <v>37</v>
      </c>
      <c r="H4" s="9" t="s">
        <v>38</v>
      </c>
      <c r="I4" s="10" t="s">
        <v>42</v>
      </c>
      <c r="J4" s="11" t="s">
        <v>52</v>
      </c>
      <c r="L4" s="2"/>
    </row>
    <row r="5" spans="2:13" ht="16.5" customHeight="1" thickBot="1">
      <c r="B5" s="54"/>
      <c r="C5" s="55"/>
      <c r="D5" s="56"/>
      <c r="E5" s="14" t="s">
        <v>96</v>
      </c>
      <c r="F5" s="15" t="s">
        <v>94</v>
      </c>
      <c r="G5" s="16" t="s">
        <v>41</v>
      </c>
      <c r="H5" s="14" t="s">
        <v>54</v>
      </c>
      <c r="I5" s="15" t="s">
        <v>53</v>
      </c>
      <c r="J5" s="16" t="s">
        <v>34</v>
      </c>
      <c r="L5" s="2" t="s">
        <v>55</v>
      </c>
      <c r="M5" s="1" t="s">
        <v>11</v>
      </c>
    </row>
    <row r="6" spans="2:13" ht="16.5" customHeight="1">
      <c r="B6" s="3" t="s">
        <v>2</v>
      </c>
      <c r="C6" s="4" t="s">
        <v>97</v>
      </c>
      <c r="D6" s="57"/>
      <c r="E6" s="68">
        <v>1</v>
      </c>
      <c r="F6" s="69">
        <v>1</v>
      </c>
      <c r="G6" s="70">
        <v>0</v>
      </c>
      <c r="H6" s="68">
        <v>3</v>
      </c>
      <c r="I6" s="69">
        <v>1</v>
      </c>
      <c r="J6" s="70">
        <v>0</v>
      </c>
      <c r="L6" s="2" t="s">
        <v>98</v>
      </c>
      <c r="M6" s="1" t="s">
        <v>10</v>
      </c>
    </row>
    <row r="7" spans="2:13" ht="16.5" customHeight="1">
      <c r="B7" s="6" t="s">
        <v>12</v>
      </c>
      <c r="C7" s="7" t="s">
        <v>56</v>
      </c>
      <c r="D7" s="20" t="s">
        <v>99</v>
      </c>
      <c r="E7" s="67">
        <f>HLOOKUP(E$5,Thermophysical!$D$5:$I$14,4,0)</f>
        <v>-50.84</v>
      </c>
      <c r="F7" s="66">
        <f>HLOOKUP(F$5,Thermophysical!$D$5:$I$14,4,0)</f>
        <v>-228.6</v>
      </c>
      <c r="G7" s="71">
        <f>HLOOKUP(G$5,Thermophysical!$D$5:$I$14,4,0)</f>
        <v>0</v>
      </c>
      <c r="H7" s="67">
        <f>HLOOKUP(H$5,Thermophysical!$D$5:$I$14,4,0)</f>
        <v>0</v>
      </c>
      <c r="I7" s="66">
        <f>HLOOKUP(I$5,Thermophysical!$D$5:$I$14,4,0)</f>
        <v>-137.2</v>
      </c>
      <c r="J7" s="71">
        <f>HLOOKUP(J$5,Thermophysical!$D$5:$I$14,4,0)</f>
        <v>0</v>
      </c>
      <c r="L7" s="2" t="s">
        <v>57</v>
      </c>
      <c r="M7" s="1" t="s">
        <v>28</v>
      </c>
    </row>
    <row r="8" spans="2:13" ht="16.5" customHeight="1">
      <c r="B8" s="6" t="s">
        <v>13</v>
      </c>
      <c r="C8" s="7" t="s">
        <v>58</v>
      </c>
      <c r="D8" s="20" t="s">
        <v>99</v>
      </c>
      <c r="E8" s="67">
        <f>HLOOKUP(E$5,Thermophysical!$D$5:$I$14,3,0)</f>
        <v>-74.85</v>
      </c>
      <c r="F8" s="66">
        <f>HLOOKUP(F$5,Thermophysical!$D$5:$I$14,3,0)</f>
        <v>-241.8</v>
      </c>
      <c r="G8" s="71">
        <f>HLOOKUP(G$5,Thermophysical!$D$5:$I$14,3,0)</f>
        <v>0</v>
      </c>
      <c r="H8" s="67">
        <f>HLOOKUP(H$5,Thermophysical!$D$5:$I$14,3,0)</f>
        <v>0</v>
      </c>
      <c r="I8" s="66">
        <f>HLOOKUP(I$5,Thermophysical!$D$5:$I$14,3,0)</f>
        <v>-110.54</v>
      </c>
      <c r="J8" s="71">
        <f>HLOOKUP(J$5,Thermophysical!$D$5:$I$14,3,0)</f>
        <v>0</v>
      </c>
      <c r="L8" s="2" t="s">
        <v>59</v>
      </c>
      <c r="M8" s="1" t="s">
        <v>29</v>
      </c>
    </row>
    <row r="9" spans="2:12" ht="16.5" customHeight="1">
      <c r="B9" s="6" t="s">
        <v>40</v>
      </c>
      <c r="C9" s="7" t="s">
        <v>60</v>
      </c>
      <c r="D9" s="20" t="s">
        <v>148</v>
      </c>
      <c r="E9" s="67">
        <f>HLOOKUP(E$5,Thermophysical!$D$5:$I$14,5,0)</f>
        <v>186.27</v>
      </c>
      <c r="F9" s="66">
        <f>HLOOKUP(F$5,Thermophysical!$D$5:$I$14,5,0)</f>
        <v>188.72</v>
      </c>
      <c r="G9" s="71">
        <f>HLOOKUP(G$5,Thermophysical!$D$5:$I$14,5,0)</f>
        <v>0</v>
      </c>
      <c r="H9" s="67">
        <f>HLOOKUP(H$5,Thermophysical!$D$5:$I$14,5,0)</f>
        <v>130.57</v>
      </c>
      <c r="I9" s="66">
        <f>HLOOKUP(I$5,Thermophysical!$D$5:$I$14,5,0)</f>
        <v>197.54</v>
      </c>
      <c r="J9" s="71">
        <f>HLOOKUP(J$5,Thermophysical!$D$5:$I$14,5,0)</f>
        <v>0</v>
      </c>
      <c r="L9" s="2"/>
    </row>
    <row r="10" spans="2:13" ht="16.5" customHeight="1">
      <c r="B10" s="6" t="s">
        <v>107</v>
      </c>
      <c r="C10" s="7"/>
      <c r="D10" s="20" t="s">
        <v>148</v>
      </c>
      <c r="E10" s="67">
        <f>HLOOKUP(E$5,Thermophysical!$D$5:$I$14,6,0)</f>
        <v>34.942</v>
      </c>
      <c r="F10" s="66">
        <f>HLOOKUP(F$5,Thermophysical!$D$5:$I$14,6,0)</f>
        <v>33.933</v>
      </c>
      <c r="G10" s="71">
        <f>HLOOKUP(G$5,Thermophysical!$D$5:$I$14,6,0)</f>
        <v>0</v>
      </c>
      <c r="H10" s="67">
        <f>HLOOKUP(H$5,Thermophysical!$D$5:$I$14,6,0)</f>
        <v>25.399</v>
      </c>
      <c r="I10" s="66">
        <f>HLOOKUP(I$5,Thermophysical!$D$5:$I$14,6,0)</f>
        <v>29.556</v>
      </c>
      <c r="J10" s="71">
        <f>HLOOKUP(J$5,Thermophysical!$D$5:$I$14,6,0)</f>
        <v>0</v>
      </c>
      <c r="L10" s="2" t="s">
        <v>61</v>
      </c>
      <c r="M10" s="1" t="s">
        <v>30</v>
      </c>
    </row>
    <row r="11" spans="2:13" ht="16.5" customHeight="1">
      <c r="B11" s="6" t="s">
        <v>108</v>
      </c>
      <c r="C11" s="7"/>
      <c r="D11" s="20" t="s">
        <v>148</v>
      </c>
      <c r="E11" s="72">
        <f>HLOOKUP(E$5,Thermophysical!$D$5:$I$14,7,0)</f>
        <v>-0.039957</v>
      </c>
      <c r="F11" s="65">
        <f>HLOOKUP(F$5,Thermophysical!$D$5:$I$14,7,0)</f>
        <v>-0.0084186</v>
      </c>
      <c r="G11" s="73">
        <f>HLOOKUP(G$5,Thermophysical!$D$5:$I$14,7,0)</f>
        <v>0</v>
      </c>
      <c r="H11" s="72">
        <f>HLOOKUP(H$5,Thermophysical!$D$5:$I$14,7,0)</f>
        <v>0.02017</v>
      </c>
      <c r="I11" s="65">
        <f>HLOOKUP(I$5,Thermophysical!$D$5:$I$14,7,0)</f>
        <v>-0.0065807</v>
      </c>
      <c r="J11" s="73">
        <f>HLOOKUP(J$5,Thermophysical!$D$5:$I$14,7,0)</f>
        <v>0</v>
      </c>
      <c r="L11" s="2" t="s">
        <v>62</v>
      </c>
      <c r="M11" s="1" t="s">
        <v>31</v>
      </c>
    </row>
    <row r="12" spans="2:13" ht="16.5" customHeight="1">
      <c r="B12" s="6" t="s">
        <v>109</v>
      </c>
      <c r="C12" s="7"/>
      <c r="D12" s="20" t="s">
        <v>148</v>
      </c>
      <c r="E12" s="72">
        <f>HLOOKUP(E$5,Thermophysical!$D$5:$I$14,8,0)</f>
        <v>0.00019184</v>
      </c>
      <c r="F12" s="65">
        <f>HLOOKUP(F$5,Thermophysical!$D$5:$I$14,8,0)</f>
        <v>2.9906E-05</v>
      </c>
      <c r="G12" s="73">
        <f>HLOOKUP(G$5,Thermophysical!$D$5:$I$14,8,0)</f>
        <v>0</v>
      </c>
      <c r="H12" s="72">
        <f>HLOOKUP(H$5,Thermophysical!$D$5:$I$14,8,0)</f>
        <v>-3.8549E-05</v>
      </c>
      <c r="I12" s="65">
        <f>HLOOKUP(I$5,Thermophysical!$D$5:$I$14,8,0)</f>
        <v>2.013E-05</v>
      </c>
      <c r="J12" s="73">
        <f>HLOOKUP(J$5,Thermophysical!$D$5:$I$14,8,0)</f>
        <v>0</v>
      </c>
      <c r="L12" s="2" t="s">
        <v>63</v>
      </c>
      <c r="M12" s="1" t="s">
        <v>32</v>
      </c>
    </row>
    <row r="13" spans="2:12" ht="16.5" customHeight="1">
      <c r="B13" s="6" t="s">
        <v>110</v>
      </c>
      <c r="C13" s="7"/>
      <c r="D13" s="20" t="s">
        <v>148</v>
      </c>
      <c r="E13" s="72">
        <f>HLOOKUP(E$5,Thermophysical!$D$5:$I$14,9,0)</f>
        <v>-1.5303E-07</v>
      </c>
      <c r="F13" s="65">
        <f>HLOOKUP(F$5,Thermophysical!$D$5:$I$14,9,0)</f>
        <v>-1.7825E-08</v>
      </c>
      <c r="G13" s="73">
        <f>HLOOKUP(G$5,Thermophysical!$D$5:$I$14,9,0)</f>
        <v>0</v>
      </c>
      <c r="H13" s="72">
        <f>HLOOKUP(H$5,Thermophysical!$D$5:$I$14,9,0)</f>
        <v>3.188E-08</v>
      </c>
      <c r="I13" s="65">
        <f>HLOOKUP(I$5,Thermophysical!$D$5:$I$14,9,0)</f>
        <v>-1.2227E-08</v>
      </c>
      <c r="J13" s="73">
        <f>HLOOKUP(J$5,Thermophysical!$D$5:$I$14,9,0)</f>
        <v>0</v>
      </c>
      <c r="L13" s="2"/>
    </row>
    <row r="14" spans="2:12" ht="16.5" customHeight="1" thickBot="1">
      <c r="B14" s="12" t="s">
        <v>111</v>
      </c>
      <c r="C14" s="13"/>
      <c r="D14" s="28" t="s">
        <v>148</v>
      </c>
      <c r="E14" s="74">
        <f>HLOOKUP(E$5,Thermophysical!$D$5:$I$14,10,0)</f>
        <v>3.9321E-11</v>
      </c>
      <c r="F14" s="75">
        <f>HLOOKUP(F$5,Thermophysical!$D$5:$I$14,10,0)</f>
        <v>3.6934E-12</v>
      </c>
      <c r="G14" s="76">
        <f>HLOOKUP(G$5,Thermophysical!$D$5:$I$14,10,0)</f>
        <v>0</v>
      </c>
      <c r="H14" s="74">
        <f>HLOOKUP(H$5,Thermophysical!$D$5:$I$14,10,0)</f>
        <v>-8.7585E-12</v>
      </c>
      <c r="I14" s="75">
        <f>HLOOKUP(I$5,Thermophysical!$D$5:$I$14,10,0)</f>
        <v>2.2617E-12</v>
      </c>
      <c r="J14" s="76">
        <f>HLOOKUP(J$5,Thermophysical!$D$5:$I$14,10,0)</f>
        <v>0</v>
      </c>
      <c r="L14" s="2"/>
    </row>
    <row r="15" spans="6:12" ht="16.5" customHeight="1">
      <c r="F15" s="53"/>
      <c r="G15" s="53"/>
      <c r="H15" s="52"/>
      <c r="I15" s="52"/>
      <c r="J15" s="53"/>
      <c r="L15" s="2"/>
    </row>
    <row r="16" ht="16.5" customHeight="1" thickBot="1">
      <c r="K16" s="2"/>
    </row>
    <row r="17" spans="2:10" ht="16.5" customHeight="1">
      <c r="B17" s="3" t="s">
        <v>14</v>
      </c>
      <c r="C17" s="4" t="s">
        <v>64</v>
      </c>
      <c r="D17" s="17" t="s">
        <v>95</v>
      </c>
      <c r="E17" s="18">
        <f>H6*H7+I6*I7+J6*J7-(E6*E7+F6*F7+G6*G7)</f>
        <v>142.24</v>
      </c>
      <c r="G17" s="2" t="s">
        <v>65</v>
      </c>
      <c r="H17" s="19" t="s">
        <v>16</v>
      </c>
      <c r="J17" s="1"/>
    </row>
    <row r="18" spans="2:8" s="24" customFormat="1" ht="16.5" customHeight="1">
      <c r="B18" s="6" t="s">
        <v>15</v>
      </c>
      <c r="C18" s="7" t="s">
        <v>66</v>
      </c>
      <c r="D18" s="20" t="s">
        <v>95</v>
      </c>
      <c r="E18" s="21">
        <f>H$6*H8+I$6*I8+J8*J6-(E$6*E8+F$6*F8+G6*G8)</f>
        <v>206.10999999999996</v>
      </c>
      <c r="F18" s="22"/>
      <c r="G18" s="32" t="s">
        <v>67</v>
      </c>
      <c r="H18" s="23" t="s">
        <v>17</v>
      </c>
    </row>
    <row r="19" spans="2:8" s="24" customFormat="1" ht="16.5" customHeight="1">
      <c r="B19" s="6" t="s">
        <v>39</v>
      </c>
      <c r="C19" s="7" t="s">
        <v>68</v>
      </c>
      <c r="D19" s="20" t="s">
        <v>148</v>
      </c>
      <c r="E19" s="21">
        <f>H$6*H9+I$6*I9+J6*J9-(E$6*E9+F$6*F9+G6*G9)</f>
        <v>214.26</v>
      </c>
      <c r="F19" s="22"/>
      <c r="G19" s="32"/>
      <c r="H19" s="23"/>
    </row>
    <row r="20" spans="2:8" s="24" customFormat="1" ht="16.5" customHeight="1">
      <c r="B20" s="6" t="s">
        <v>112</v>
      </c>
      <c r="C20" s="7" t="s">
        <v>69</v>
      </c>
      <c r="D20" s="20" t="s">
        <v>148</v>
      </c>
      <c r="E20" s="25">
        <f>H$6*H10+I$6*I10+J$6*J10-(E$6*E10+F$6*F10+G$6*G10)</f>
        <v>36.878</v>
      </c>
      <c r="F20" s="22"/>
      <c r="G20" s="32" t="s">
        <v>70</v>
      </c>
      <c r="H20" s="24" t="s">
        <v>18</v>
      </c>
    </row>
    <row r="21" spans="2:8" s="24" customFormat="1" ht="16.5" customHeight="1">
      <c r="B21" s="6" t="s">
        <v>112</v>
      </c>
      <c r="C21" s="7" t="s">
        <v>71</v>
      </c>
      <c r="D21" s="20" t="s">
        <v>148</v>
      </c>
      <c r="E21" s="77">
        <f>H$6*H11+I$6*I11+J$6*J11-(E$6*E11+F$6*F11+G$6*G11)</f>
        <v>0.1023049</v>
      </c>
      <c r="F21" s="22"/>
      <c r="G21" s="32" t="s">
        <v>72</v>
      </c>
      <c r="H21" s="24" t="s">
        <v>19</v>
      </c>
    </row>
    <row r="22" spans="2:8" s="24" customFormat="1" ht="16.5" customHeight="1">
      <c r="B22" s="6" t="s">
        <v>112</v>
      </c>
      <c r="C22" s="7" t="s">
        <v>73</v>
      </c>
      <c r="D22" s="20" t="s">
        <v>148</v>
      </c>
      <c r="E22" s="77">
        <f>H$6*H12+I$6*I12+J$6*J12-(E$6*E12+F$6*F12+G$6*G12)</f>
        <v>-0.00031726300000000003</v>
      </c>
      <c r="F22" s="22"/>
      <c r="G22" s="32" t="s">
        <v>74</v>
      </c>
      <c r="H22" s="24" t="s">
        <v>20</v>
      </c>
    </row>
    <row r="23" spans="2:7" s="24" customFormat="1" ht="16.5" customHeight="1">
      <c r="B23" s="6" t="s">
        <v>112</v>
      </c>
      <c r="C23" s="7" t="s">
        <v>113</v>
      </c>
      <c r="D23" s="20" t="s">
        <v>148</v>
      </c>
      <c r="E23" s="77">
        <f>H$6*H13+I$6*I13+J$6*J13-(E$6*E13+F$6*F13+G$6*G13)</f>
        <v>2.54268E-07</v>
      </c>
      <c r="F23" s="22"/>
      <c r="G23" s="32"/>
    </row>
    <row r="24" spans="2:7" s="24" customFormat="1" ht="16.5" customHeight="1">
      <c r="B24" s="6" t="s">
        <v>112</v>
      </c>
      <c r="C24" s="7" t="s">
        <v>114</v>
      </c>
      <c r="D24" s="20" t="s">
        <v>148</v>
      </c>
      <c r="E24" s="77">
        <f>H$6*H14+I$6*I14+J$6*J14-(E$6*E14+F$6*F14+G$6*G14)</f>
        <v>-6.702820000000001E-11</v>
      </c>
      <c r="F24" s="22"/>
      <c r="G24" s="32"/>
    </row>
    <row r="25" spans="2:10" ht="16.5" customHeight="1">
      <c r="B25" s="6" t="s">
        <v>3</v>
      </c>
      <c r="C25" s="7" t="s">
        <v>147</v>
      </c>
      <c r="D25" s="20" t="s">
        <v>115</v>
      </c>
      <c r="E25" s="79">
        <f>E18*1000-E20*E$28-E21/2*E$28^2-E22/3*E$28^3-E23/4*E$28^4-E24/5*E$28^5</f>
        <v>192899.85032769508</v>
      </c>
      <c r="G25" s="2" t="s">
        <v>76</v>
      </c>
      <c r="H25" s="19" t="s">
        <v>21</v>
      </c>
      <c r="J25" s="1"/>
    </row>
    <row r="26" spans="2:10" ht="16.5" customHeight="1">
      <c r="B26" s="6" t="s">
        <v>77</v>
      </c>
      <c r="C26" s="26" t="s">
        <v>78</v>
      </c>
      <c r="D26" s="20"/>
      <c r="E26" s="25">
        <f>-E17*1000/(E27*E28)</f>
        <v>-57.38009185006057</v>
      </c>
      <c r="G26" s="2" t="s">
        <v>79</v>
      </c>
      <c r="H26" s="19" t="s">
        <v>45</v>
      </c>
      <c r="J26" s="1"/>
    </row>
    <row r="27" spans="2:10" ht="16.5" customHeight="1">
      <c r="B27" s="6" t="s">
        <v>22</v>
      </c>
      <c r="C27" s="7" t="s">
        <v>80</v>
      </c>
      <c r="D27" s="20" t="s">
        <v>148</v>
      </c>
      <c r="E27" s="78">
        <v>8.3143</v>
      </c>
      <c r="G27" s="2" t="s">
        <v>81</v>
      </c>
      <c r="H27" s="1" t="s">
        <v>24</v>
      </c>
      <c r="J27" s="1"/>
    </row>
    <row r="28" spans="2:10" ht="16.5" customHeight="1">
      <c r="B28" s="6" t="s">
        <v>23</v>
      </c>
      <c r="C28" s="7" t="s">
        <v>82</v>
      </c>
      <c r="D28" s="20" t="s">
        <v>116</v>
      </c>
      <c r="E28" s="78">
        <v>298.15</v>
      </c>
      <c r="G28" s="2" t="s">
        <v>83</v>
      </c>
      <c r="H28" s="1" t="s">
        <v>25</v>
      </c>
      <c r="J28" s="1"/>
    </row>
    <row r="29" spans="2:10" ht="16.5" customHeight="1" thickBot="1">
      <c r="B29" s="12" t="s">
        <v>4</v>
      </c>
      <c r="C29" s="13" t="s">
        <v>84</v>
      </c>
      <c r="D29" s="28"/>
      <c r="E29" s="29">
        <f>E26+E25/(E27*E$28)-E20/E27*LN(E$28)-E21/(2*E27)*E$28-E22/(6*E27)*E$28^2-E23/(12*E27)*E$28^3-E24/(20*E27)*E$28^4</f>
        <v>-6.168621892354183</v>
      </c>
      <c r="G29" s="2" t="s">
        <v>85</v>
      </c>
      <c r="H29" s="19" t="s">
        <v>26</v>
      </c>
      <c r="J29" s="1"/>
    </row>
    <row r="30" ht="16.5" customHeight="1" thickBot="1">
      <c r="K30" s="19"/>
    </row>
    <row r="31" spans="2:5" ht="16.5" customHeight="1">
      <c r="B31" s="3" t="s">
        <v>5</v>
      </c>
      <c r="C31" s="4"/>
      <c r="D31" s="17" t="s">
        <v>86</v>
      </c>
      <c r="E31" s="80">
        <v>25</v>
      </c>
    </row>
    <row r="32" spans="2:5" ht="16.5" customHeight="1">
      <c r="B32" s="6" t="s">
        <v>27</v>
      </c>
      <c r="C32" s="7"/>
      <c r="D32" s="20" t="s">
        <v>87</v>
      </c>
      <c r="E32" s="81">
        <f>E31+273.15</f>
        <v>298.15</v>
      </c>
    </row>
    <row r="33" spans="2:5" ht="16.5" customHeight="1">
      <c r="B33" s="6" t="s">
        <v>88</v>
      </c>
      <c r="C33" s="7"/>
      <c r="D33" s="20"/>
      <c r="E33" s="25">
        <f>-E25/(E$27*E$28)+E$20/E$27*LN(E$28)+E$21/(2*E$27)*E$28+E$22/(6*E$27)*E$28^2+E$23/(12*E$27)*E$28^3+E$24/(20*E$27)*E$28^4+$E$29</f>
        <v>-57.38009185006057</v>
      </c>
    </row>
    <row r="34" spans="2:7" ht="16.5" customHeight="1" thickBot="1">
      <c r="B34" s="12" t="s">
        <v>6</v>
      </c>
      <c r="C34" s="13" t="s">
        <v>89</v>
      </c>
      <c r="D34" s="28"/>
      <c r="E34" s="30">
        <f>EXP(E33)</f>
        <v>1.2026596446271503E-25</v>
      </c>
      <c r="G34" s="31"/>
    </row>
    <row r="35" spans="11:18" ht="16.5" customHeight="1">
      <c r="K35" s="24"/>
      <c r="L35" s="24"/>
      <c r="M35" s="24"/>
      <c r="R35" s="24"/>
    </row>
    <row r="36" spans="2:18" ht="16.5" customHeight="1">
      <c r="B36" s="49" t="s">
        <v>33</v>
      </c>
      <c r="C36" s="7" t="s">
        <v>142</v>
      </c>
      <c r="D36" s="88">
        <v>0</v>
      </c>
      <c r="K36" s="24"/>
      <c r="L36" s="24"/>
      <c r="M36" s="24"/>
      <c r="R36" s="24"/>
    </row>
    <row r="37" spans="3:18" ht="16.5" customHeight="1">
      <c r="C37" s="7" t="s">
        <v>143</v>
      </c>
      <c r="D37" s="88">
        <v>50</v>
      </c>
      <c r="K37" s="24"/>
      <c r="L37" s="24"/>
      <c r="M37" s="24"/>
      <c r="R37" s="24"/>
    </row>
    <row r="38" spans="11:18" ht="16.5" customHeight="1">
      <c r="K38" s="24"/>
      <c r="L38" s="32"/>
      <c r="M38" s="32"/>
      <c r="N38" s="32"/>
      <c r="O38" s="33"/>
      <c r="P38" s="33"/>
      <c r="Q38" s="34"/>
      <c r="R38" s="34"/>
    </row>
    <row r="39" spans="4:18" ht="16.5" customHeight="1">
      <c r="D39" s="49"/>
      <c r="J39" s="35"/>
      <c r="K39" s="32"/>
      <c r="L39" s="32"/>
      <c r="M39" s="32"/>
      <c r="N39" s="32"/>
      <c r="O39" s="32"/>
      <c r="P39" s="32"/>
      <c r="Q39" s="32"/>
      <c r="R39" s="32"/>
    </row>
    <row r="40" spans="11:18" ht="16.5" customHeight="1">
      <c r="K40" s="32"/>
      <c r="L40" s="32"/>
      <c r="M40" s="32"/>
      <c r="N40" s="32"/>
      <c r="O40" s="24"/>
      <c r="P40" s="32"/>
      <c r="Q40" s="32"/>
      <c r="R40" s="32"/>
    </row>
    <row r="41" spans="4:18" ht="15" customHeight="1">
      <c r="D41" s="10" t="s">
        <v>90</v>
      </c>
      <c r="E41" s="36" t="s">
        <v>91</v>
      </c>
      <c r="F41" s="10" t="s">
        <v>92</v>
      </c>
      <c r="G41" s="89" t="s">
        <v>144</v>
      </c>
      <c r="H41" s="83" t="s">
        <v>93</v>
      </c>
      <c r="I41" s="10" t="s">
        <v>92</v>
      </c>
      <c r="J41" s="85">
        <f>ABS(1-AVERAGE(J42:J72))</f>
        <v>0.0008081456887447658</v>
      </c>
      <c r="K41" s="32"/>
      <c r="L41" s="32"/>
      <c r="M41" s="32"/>
      <c r="N41" s="32"/>
      <c r="O41" s="24"/>
      <c r="P41" s="32"/>
      <c r="Q41" s="32"/>
      <c r="R41" s="32"/>
    </row>
    <row r="42" spans="4:18" ht="15" customHeight="1">
      <c r="D42" s="37">
        <f>D36</f>
        <v>0</v>
      </c>
      <c r="E42" s="38">
        <f>D42+273.16</f>
        <v>273.16</v>
      </c>
      <c r="F42" s="39">
        <f>EXP(-E$25/(E$27*$E42)+E$20/E$27*LN($E42)+E$21/(2*E$27)*$E42+E$22/(6*E$27)*$E42^2+E$23/(12*E$27)*$E42^3+E$24/(20*E$27)*$E42^4+$E$29)</f>
        <v>6.110230577041218E-29</v>
      </c>
      <c r="G42" s="82">
        <f aca="true" t="shared" si="0" ref="G42:G72">1000/E42-1</f>
        <v>2.6608581051398446</v>
      </c>
      <c r="H42" s="84">
        <f aca="true" t="shared" si="1" ref="H42:H72">LN(F42)</f>
        <v>-64.96500318670591</v>
      </c>
      <c r="I42" s="40">
        <f>EXP(-0.0502188*G42^3+0.664871*G42^2-27.023*G42+3.19253)</f>
        <v>6.199311246673684E-29</v>
      </c>
      <c r="J42" s="86">
        <f>I42/F42</f>
        <v>1.0145789374900482</v>
      </c>
      <c r="K42" s="32"/>
      <c r="L42" s="32"/>
      <c r="M42" s="43"/>
      <c r="N42" s="41"/>
      <c r="O42" s="34"/>
      <c r="P42" s="42"/>
      <c r="Q42" s="42"/>
      <c r="R42" s="42"/>
    </row>
    <row r="43" spans="4:18" ht="15" customHeight="1">
      <c r="D43" s="44">
        <f>D42+$D$37</f>
        <v>50</v>
      </c>
      <c r="E43" s="38">
        <f>D43+273.16</f>
        <v>323.16</v>
      </c>
      <c r="F43" s="39">
        <f>EXP(-E$25/(E$27*$E43)+E$20/E$27*LN($E43)+E$21/(2*E$27)*$E43+E$22/(6*E$27)*$E43^2+E$23/(12*E$27)*$E43^3+E$24/(20*E$27)*$E43^4+$E$29)</f>
        <v>7.624117335909747E-23</v>
      </c>
      <c r="G43" s="82">
        <f t="shared" si="0"/>
        <v>2.0944423814828563</v>
      </c>
      <c r="H43" s="84">
        <f t="shared" si="1"/>
        <v>-50.92814058229514</v>
      </c>
      <c r="I43" s="40">
        <f aca="true" t="shared" si="2" ref="I43:I72">EXP(-0.0502188*G43^3+0.664871*G43^2-27.023*G43+3.19253)</f>
        <v>7.45629971815093E-23</v>
      </c>
      <c r="J43" s="86">
        <f aca="true" t="shared" si="3" ref="J43:J72">I43/F43</f>
        <v>0.9779885840727565</v>
      </c>
      <c r="K43" s="32"/>
      <c r="L43" s="32"/>
      <c r="M43" s="43"/>
      <c r="N43" s="41"/>
      <c r="O43" s="34"/>
      <c r="P43" s="42"/>
      <c r="Q43" s="42"/>
      <c r="R43" s="42"/>
    </row>
    <row r="44" spans="4:18" ht="15" customHeight="1">
      <c r="D44" s="44">
        <f aca="true" t="shared" si="4" ref="D44:D72">D43+$D$37</f>
        <v>100</v>
      </c>
      <c r="E44" s="38">
        <f aca="true" t="shared" si="5" ref="E44:E51">D44+273.16</f>
        <v>373.16</v>
      </c>
      <c r="F44" s="39">
        <f aca="true" t="shared" si="6" ref="F44:F72">EXP(-E$25/(E$27*$E44)+E$20/E$27*LN($E44)+E$21/(2*E$27)*$E44+E$22/(6*E$27)*$E44^2+E$23/(12*E$27)*$E44^3+E$24/(20*E$27)*$E44^4+$E$29)</f>
        <v>2.4729607971657225E-18</v>
      </c>
      <c r="G44" s="82">
        <f t="shared" si="0"/>
        <v>1.679815628684746</v>
      </c>
      <c r="H44" s="84">
        <f t="shared" si="1"/>
        <v>-40.541115537818165</v>
      </c>
      <c r="I44" s="40">
        <f t="shared" si="2"/>
        <v>2.4193122677955716E-18</v>
      </c>
      <c r="J44" s="86">
        <f t="shared" si="3"/>
        <v>0.9783059523500583</v>
      </c>
      <c r="K44" s="32"/>
      <c r="L44" s="32"/>
      <c r="M44" s="43"/>
      <c r="N44" s="41"/>
      <c r="O44" s="34"/>
      <c r="P44" s="42"/>
      <c r="Q44" s="42"/>
      <c r="R44" s="42"/>
    </row>
    <row r="45" spans="4:18" ht="15" customHeight="1">
      <c r="D45" s="44">
        <f t="shared" si="4"/>
        <v>150</v>
      </c>
      <c r="E45" s="38">
        <f t="shared" si="5"/>
        <v>423.16</v>
      </c>
      <c r="F45" s="39">
        <f t="shared" si="6"/>
        <v>7.476729686086113E-15</v>
      </c>
      <c r="G45" s="82">
        <f t="shared" si="0"/>
        <v>1.3631723225257586</v>
      </c>
      <c r="H45" s="84">
        <f t="shared" si="1"/>
        <v>-32.52698090626997</v>
      </c>
      <c r="I45" s="40">
        <f t="shared" si="2"/>
        <v>7.408148728219562E-15</v>
      </c>
      <c r="J45" s="86">
        <f t="shared" si="3"/>
        <v>0.9908274124188043</v>
      </c>
      <c r="K45" s="32"/>
      <c r="L45" s="32"/>
      <c r="M45" s="43"/>
      <c r="N45" s="41"/>
      <c r="O45" s="34"/>
      <c r="P45" s="42"/>
      <c r="Q45" s="42"/>
      <c r="R45" s="42"/>
    </row>
    <row r="46" spans="4:18" ht="15" customHeight="1">
      <c r="D46" s="44">
        <f t="shared" si="4"/>
        <v>200</v>
      </c>
      <c r="E46" s="38">
        <f t="shared" si="5"/>
        <v>473.16</v>
      </c>
      <c r="F46" s="39">
        <f t="shared" si="6"/>
        <v>4.416677615362529E-12</v>
      </c>
      <c r="G46" s="82">
        <f t="shared" si="0"/>
        <v>1.1134499957731</v>
      </c>
      <c r="H46" s="84">
        <f t="shared" si="1"/>
        <v>-26.145633373217493</v>
      </c>
      <c r="I46" s="40">
        <f t="shared" si="2"/>
        <v>4.4360148287242924E-12</v>
      </c>
      <c r="J46" s="86">
        <f t="shared" si="3"/>
        <v>1.0043782261341654</v>
      </c>
      <c r="K46" s="32"/>
      <c r="L46" s="32"/>
      <c r="M46" s="43"/>
      <c r="N46" s="41"/>
      <c r="O46" s="34"/>
      <c r="P46" s="42"/>
      <c r="Q46" s="42"/>
      <c r="R46" s="42"/>
    </row>
    <row r="47" spans="4:18" ht="15" customHeight="1">
      <c r="D47" s="44">
        <f t="shared" si="4"/>
        <v>250</v>
      </c>
      <c r="E47" s="38">
        <f t="shared" si="5"/>
        <v>523.1600000000001</v>
      </c>
      <c r="F47" s="39">
        <f t="shared" si="6"/>
        <v>8.067718221580188E-10</v>
      </c>
      <c r="G47" s="82">
        <f t="shared" si="0"/>
        <v>0.911461120880801</v>
      </c>
      <c r="H47" s="84">
        <f t="shared" si="1"/>
        <v>-20.937980235894667</v>
      </c>
      <c r="I47" s="40">
        <f t="shared" si="2"/>
        <v>8.184893465636713E-10</v>
      </c>
      <c r="J47" s="86">
        <f t="shared" si="3"/>
        <v>1.0145239633857186</v>
      </c>
      <c r="K47" s="32"/>
      <c r="L47" s="32"/>
      <c r="M47" s="43"/>
      <c r="N47" s="41"/>
      <c r="O47" s="34"/>
      <c r="P47" s="42"/>
      <c r="Q47" s="42"/>
      <c r="R47" s="42"/>
    </row>
    <row r="48" spans="4:18" ht="15" customHeight="1">
      <c r="D48" s="44">
        <f t="shared" si="4"/>
        <v>300</v>
      </c>
      <c r="E48" s="38">
        <f t="shared" si="5"/>
        <v>573.1600000000001</v>
      </c>
      <c r="F48" s="39">
        <f t="shared" si="6"/>
        <v>6.152794593422294E-08</v>
      </c>
      <c r="G48" s="82">
        <f t="shared" si="0"/>
        <v>0.7447135180403375</v>
      </c>
      <c r="H48" s="84">
        <f t="shared" si="1"/>
        <v>-16.603774359910304</v>
      </c>
      <c r="I48" s="40">
        <f t="shared" si="2"/>
        <v>6.276499457910422E-08</v>
      </c>
      <c r="J48" s="86">
        <f t="shared" si="3"/>
        <v>1.0201054760742991</v>
      </c>
      <c r="K48" s="32"/>
      <c r="L48" s="32"/>
      <c r="M48" s="43"/>
      <c r="N48" s="41"/>
      <c r="O48" s="34"/>
      <c r="P48" s="42"/>
      <c r="Q48" s="42"/>
      <c r="R48" s="42"/>
    </row>
    <row r="49" spans="4:18" ht="15" customHeight="1">
      <c r="D49" s="44">
        <f t="shared" si="4"/>
        <v>350</v>
      </c>
      <c r="E49" s="38">
        <f t="shared" si="5"/>
        <v>623.1600000000001</v>
      </c>
      <c r="F49" s="39">
        <f t="shared" si="6"/>
        <v>2.4045716320971443E-06</v>
      </c>
      <c r="G49" s="82">
        <f t="shared" si="0"/>
        <v>0.604724308363823</v>
      </c>
      <c r="H49" s="84">
        <f t="shared" si="1"/>
        <v>-12.938138785823131</v>
      </c>
      <c r="I49" s="40">
        <f t="shared" si="2"/>
        <v>2.4561810536666773E-06</v>
      </c>
      <c r="J49" s="86">
        <f t="shared" si="3"/>
        <v>1.02146304184938</v>
      </c>
      <c r="K49" s="32"/>
      <c r="L49" s="32"/>
      <c r="M49" s="43"/>
      <c r="N49" s="41"/>
      <c r="O49" s="34"/>
      <c r="P49" s="42"/>
      <c r="Q49" s="42"/>
      <c r="R49" s="42"/>
    </row>
    <row r="50" spans="4:18" ht="15" customHeight="1">
      <c r="D50" s="44">
        <f t="shared" si="4"/>
        <v>400</v>
      </c>
      <c r="E50" s="38">
        <f t="shared" si="5"/>
        <v>673.1600000000001</v>
      </c>
      <c r="F50" s="39">
        <f t="shared" si="6"/>
        <v>5.565647745159193E-05</v>
      </c>
      <c r="G50" s="82">
        <f t="shared" si="0"/>
        <v>0.48553092875393644</v>
      </c>
      <c r="H50" s="84">
        <f t="shared" si="1"/>
        <v>-9.796312090761218</v>
      </c>
      <c r="I50" s="40">
        <f t="shared" si="2"/>
        <v>5.674270740354959E-05</v>
      </c>
      <c r="J50" s="86">
        <f t="shared" si="3"/>
        <v>1.019516685239421</v>
      </c>
      <c r="K50" s="32"/>
      <c r="L50" s="32"/>
      <c r="M50" s="43"/>
      <c r="N50" s="41"/>
      <c r="O50" s="34"/>
      <c r="P50" s="42"/>
      <c r="Q50" s="42"/>
      <c r="R50" s="42"/>
    </row>
    <row r="51" spans="4:18" ht="15" customHeight="1">
      <c r="D51" s="44">
        <f t="shared" si="4"/>
        <v>450</v>
      </c>
      <c r="E51" s="38">
        <f t="shared" si="5"/>
        <v>723.1600000000001</v>
      </c>
      <c r="F51" s="39">
        <f t="shared" si="6"/>
        <v>0.0008477035449522034</v>
      </c>
      <c r="G51" s="82">
        <f t="shared" si="0"/>
        <v>0.38281984623043286</v>
      </c>
      <c r="H51" s="84">
        <f t="shared" si="1"/>
        <v>-7.072979576511067</v>
      </c>
      <c r="I51" s="40">
        <f t="shared" si="2"/>
        <v>0.0008606775937815758</v>
      </c>
      <c r="J51" s="86">
        <f t="shared" si="3"/>
        <v>1.015304936385637</v>
      </c>
      <c r="K51" s="32"/>
      <c r="L51" s="32"/>
      <c r="M51" s="43"/>
      <c r="N51" s="41"/>
      <c r="O51" s="34"/>
      <c r="P51" s="42"/>
      <c r="Q51" s="42"/>
      <c r="R51" s="42"/>
    </row>
    <row r="52" spans="4:18" ht="15" customHeight="1">
      <c r="D52" s="44">
        <f t="shared" si="4"/>
        <v>500</v>
      </c>
      <c r="E52" s="38">
        <f>D52+273.15</f>
        <v>773.15</v>
      </c>
      <c r="F52" s="39">
        <f t="shared" si="6"/>
        <v>0.009186252474462843</v>
      </c>
      <c r="G52" s="82">
        <f t="shared" si="0"/>
        <v>0.2934100756644895</v>
      </c>
      <c r="H52" s="84">
        <f t="shared" si="1"/>
        <v>-4.690047208755292</v>
      </c>
      <c r="I52" s="40">
        <f t="shared" si="2"/>
        <v>0.009276039663000663</v>
      </c>
      <c r="J52" s="86">
        <f t="shared" si="3"/>
        <v>1.009774082389682</v>
      </c>
      <c r="K52" s="32"/>
      <c r="L52" s="32"/>
      <c r="M52" s="43"/>
      <c r="N52" s="41"/>
      <c r="O52" s="34"/>
      <c r="P52" s="42"/>
      <c r="Q52" s="42"/>
      <c r="R52" s="42"/>
    </row>
    <row r="53" spans="4:18" ht="16.5" customHeight="1">
      <c r="D53" s="44">
        <f t="shared" si="4"/>
        <v>550</v>
      </c>
      <c r="E53" s="38">
        <f aca="true" t="shared" si="7" ref="E53:E72">D53+273.15</f>
        <v>823.15</v>
      </c>
      <c r="F53" s="39">
        <f t="shared" si="6"/>
        <v>0.07526550628899073</v>
      </c>
      <c r="G53" s="82">
        <f t="shared" si="0"/>
        <v>0.21484541092146037</v>
      </c>
      <c r="H53" s="84">
        <f t="shared" si="1"/>
        <v>-2.586733332940275</v>
      </c>
      <c r="I53" s="40">
        <f t="shared" si="2"/>
        <v>0.07554354189614987</v>
      </c>
      <c r="J53" s="86">
        <f t="shared" si="3"/>
        <v>1.003694064132002</v>
      </c>
      <c r="K53" s="32"/>
      <c r="L53" s="32"/>
      <c r="M53" s="43"/>
      <c r="N53" s="41"/>
      <c r="O53" s="34"/>
      <c r="P53" s="42"/>
      <c r="Q53" s="42"/>
      <c r="R53" s="42"/>
    </row>
    <row r="54" spans="4:18" ht="16.5" customHeight="1">
      <c r="D54" s="44">
        <f t="shared" si="4"/>
        <v>600</v>
      </c>
      <c r="E54" s="38">
        <f t="shared" si="7"/>
        <v>873.15</v>
      </c>
      <c r="F54" s="39">
        <f t="shared" si="6"/>
        <v>0.4881637223980308</v>
      </c>
      <c r="G54" s="82">
        <f t="shared" si="0"/>
        <v>0.14527858901677826</v>
      </c>
      <c r="H54" s="84">
        <f t="shared" si="1"/>
        <v>-0.7171044326781528</v>
      </c>
      <c r="I54" s="40">
        <f t="shared" si="2"/>
        <v>0.4870177964327274</v>
      </c>
      <c r="J54" s="86">
        <f t="shared" si="3"/>
        <v>0.9976525786068776</v>
      </c>
      <c r="K54" s="32"/>
      <c r="L54" s="32"/>
      <c r="M54" s="43"/>
      <c r="N54" s="41"/>
      <c r="O54" s="34"/>
      <c r="P54" s="42"/>
      <c r="Q54" s="42"/>
      <c r="R54" s="42"/>
    </row>
    <row r="55" spans="4:18" ht="16.5" customHeight="1">
      <c r="D55" s="44">
        <f t="shared" si="4"/>
        <v>650</v>
      </c>
      <c r="E55" s="38">
        <f t="shared" si="7"/>
        <v>923.15</v>
      </c>
      <c r="F55" s="39">
        <f t="shared" si="6"/>
        <v>2.599899560603985</v>
      </c>
      <c r="G55" s="82">
        <f t="shared" si="0"/>
        <v>0.08324757623354828</v>
      </c>
      <c r="H55" s="84">
        <f t="shared" si="1"/>
        <v>0.9554728137443291</v>
      </c>
      <c r="I55" s="40">
        <f t="shared" si="2"/>
        <v>2.579277799245091</v>
      </c>
      <c r="J55" s="86">
        <f t="shared" si="3"/>
        <v>0.9920682469156217</v>
      </c>
      <c r="K55" s="32"/>
      <c r="L55" s="32"/>
      <c r="M55" s="43"/>
      <c r="N55" s="41"/>
      <c r="O55" s="34"/>
      <c r="P55" s="42"/>
      <c r="Q55" s="42"/>
      <c r="R55" s="42"/>
    </row>
    <row r="56" spans="4:18" ht="16.5" customHeight="1">
      <c r="D56" s="44">
        <f t="shared" si="4"/>
        <v>700</v>
      </c>
      <c r="E56" s="38">
        <f t="shared" si="7"/>
        <v>973.15</v>
      </c>
      <c r="F56" s="39">
        <f t="shared" si="6"/>
        <v>11.708448063102205</v>
      </c>
      <c r="G56" s="82">
        <f t="shared" si="0"/>
        <v>0.02759081333812885</v>
      </c>
      <c r="H56" s="84">
        <f t="shared" si="1"/>
        <v>2.4603106379216086</v>
      </c>
      <c r="I56" s="40">
        <f t="shared" si="2"/>
        <v>11.558817104627805</v>
      </c>
      <c r="J56" s="86">
        <f t="shared" si="3"/>
        <v>0.9872202568890454</v>
      </c>
      <c r="K56" s="32"/>
      <c r="L56" s="32"/>
      <c r="M56" s="43"/>
      <c r="N56" s="41"/>
      <c r="O56" s="34"/>
      <c r="P56" s="42"/>
      <c r="Q56" s="42"/>
      <c r="R56" s="42"/>
    </row>
    <row r="57" spans="4:18" ht="16.5" customHeight="1">
      <c r="D57" s="44">
        <f t="shared" si="4"/>
        <v>750</v>
      </c>
      <c r="E57" s="38">
        <f t="shared" si="7"/>
        <v>1023.15</v>
      </c>
      <c r="F57" s="39">
        <f t="shared" si="6"/>
        <v>45.6572135524392</v>
      </c>
      <c r="G57" s="82">
        <f t="shared" si="0"/>
        <v>-0.02262620339148702</v>
      </c>
      <c r="H57" s="84">
        <f t="shared" si="1"/>
        <v>3.821161613230709</v>
      </c>
      <c r="I57" s="40">
        <f t="shared" si="2"/>
        <v>44.89376196631946</v>
      </c>
      <c r="J57" s="86">
        <f t="shared" si="3"/>
        <v>0.9832786206884289</v>
      </c>
      <c r="K57" s="32"/>
      <c r="L57" s="32"/>
      <c r="M57" s="43"/>
      <c r="N57" s="41"/>
      <c r="O57" s="34"/>
      <c r="P57" s="42"/>
      <c r="Q57" s="42"/>
      <c r="R57" s="42"/>
    </row>
    <row r="58" spans="4:18" ht="16.5" customHeight="1">
      <c r="D58" s="44">
        <f t="shared" si="4"/>
        <v>800</v>
      </c>
      <c r="E58" s="38">
        <f t="shared" si="7"/>
        <v>1073.15</v>
      </c>
      <c r="F58" s="39">
        <f t="shared" si="6"/>
        <v>157.1954665126043</v>
      </c>
      <c r="G58" s="82">
        <f t="shared" si="0"/>
        <v>-0.06816381680100647</v>
      </c>
      <c r="H58" s="84">
        <f t="shared" si="1"/>
        <v>5.057490040600911</v>
      </c>
      <c r="I58" s="40">
        <f t="shared" si="2"/>
        <v>154.10372586634557</v>
      </c>
      <c r="J58" s="86">
        <f t="shared" si="3"/>
        <v>0.980331871428297</v>
      </c>
      <c r="K58" s="32"/>
      <c r="L58" s="32"/>
      <c r="M58" s="24"/>
      <c r="N58" s="24"/>
      <c r="O58" s="24"/>
      <c r="P58" s="24"/>
      <c r="Q58" s="24"/>
      <c r="R58" s="24"/>
    </row>
    <row r="59" spans="4:18" ht="16.5" customHeight="1">
      <c r="D59" s="44">
        <f t="shared" si="4"/>
        <v>850</v>
      </c>
      <c r="E59" s="38">
        <f t="shared" si="7"/>
        <v>1123.15</v>
      </c>
      <c r="F59" s="39">
        <f t="shared" si="6"/>
        <v>485.6098242219528</v>
      </c>
      <c r="G59" s="82">
        <f t="shared" si="0"/>
        <v>-0.10964697502559773</v>
      </c>
      <c r="H59" s="84">
        <f t="shared" si="1"/>
        <v>6.185405470640216</v>
      </c>
      <c r="I59" s="40">
        <f t="shared" si="2"/>
        <v>475.1258851467085</v>
      </c>
      <c r="J59" s="86">
        <f t="shared" si="3"/>
        <v>0.978410776404613</v>
      </c>
      <c r="K59" s="32"/>
      <c r="L59" s="32"/>
      <c r="M59" s="24"/>
      <c r="N59" s="24"/>
      <c r="O59" s="24"/>
      <c r="P59" s="24"/>
      <c r="Q59" s="24"/>
      <c r="R59" s="24"/>
    </row>
    <row r="60" spans="4:18" ht="16.5" customHeight="1">
      <c r="D60" s="44">
        <f t="shared" si="4"/>
        <v>900</v>
      </c>
      <c r="E60" s="38">
        <f t="shared" si="7"/>
        <v>1173.15</v>
      </c>
      <c r="F60" s="39">
        <f t="shared" si="6"/>
        <v>1364.2482063946593</v>
      </c>
      <c r="G60" s="82">
        <f t="shared" si="0"/>
        <v>-0.14759408430294518</v>
      </c>
      <c r="H60" s="84">
        <f t="shared" si="1"/>
        <v>7.2183587913465175</v>
      </c>
      <c r="I60" s="40">
        <f t="shared" si="2"/>
        <v>1333.56350084173</v>
      </c>
      <c r="J60" s="86">
        <f t="shared" si="3"/>
        <v>0.9775079744220294</v>
      </c>
      <c r="K60" s="32"/>
      <c r="L60" s="32"/>
      <c r="M60" s="32"/>
      <c r="N60" s="32"/>
      <c r="O60" s="32"/>
      <c r="P60" s="32"/>
      <c r="Q60" s="32"/>
      <c r="R60" s="24"/>
    </row>
    <row r="61" spans="4:18" ht="16.5" customHeight="1">
      <c r="D61" s="44">
        <f t="shared" si="4"/>
        <v>950</v>
      </c>
      <c r="E61" s="38">
        <f t="shared" si="7"/>
        <v>1223.15</v>
      </c>
      <c r="F61" s="39">
        <f t="shared" si="6"/>
        <v>3525.115775131381</v>
      </c>
      <c r="G61" s="82">
        <f t="shared" si="0"/>
        <v>-0.18243878510403477</v>
      </c>
      <c r="H61" s="84">
        <f t="shared" si="1"/>
        <v>8.167668558715919</v>
      </c>
      <c r="I61" s="40">
        <f t="shared" si="2"/>
        <v>3446.1320599093715</v>
      </c>
      <c r="J61" s="86">
        <f t="shared" si="3"/>
        <v>0.9775940081800389</v>
      </c>
      <c r="K61" s="32"/>
      <c r="L61" s="32"/>
      <c r="M61" s="32"/>
      <c r="N61" s="32"/>
      <c r="O61" s="32"/>
      <c r="P61" s="32"/>
      <c r="Q61" s="32"/>
      <c r="R61" s="24"/>
    </row>
    <row r="62" spans="4:18" ht="16.5" customHeight="1">
      <c r="D62" s="44">
        <f t="shared" si="4"/>
        <v>1000</v>
      </c>
      <c r="E62" s="38">
        <f t="shared" si="7"/>
        <v>1273.15</v>
      </c>
      <c r="F62" s="39">
        <f t="shared" si="6"/>
        <v>8458.473905326167</v>
      </c>
      <c r="G62" s="82">
        <f t="shared" si="0"/>
        <v>-0.2145465970231316</v>
      </c>
      <c r="H62" s="84">
        <f t="shared" si="1"/>
        <v>9.042924046886785</v>
      </c>
      <c r="I62" s="40">
        <f t="shared" si="2"/>
        <v>8277.719667398267</v>
      </c>
      <c r="J62" s="86">
        <f t="shared" si="3"/>
        <v>0.9786303959850154</v>
      </c>
      <c r="K62" s="32"/>
      <c r="L62" s="32"/>
      <c r="M62" s="24"/>
      <c r="N62" s="24"/>
      <c r="O62" s="24"/>
      <c r="P62" s="24"/>
      <c r="Q62" s="24"/>
      <c r="R62" s="24"/>
    </row>
    <row r="63" spans="4:18" ht="16.5" customHeight="1">
      <c r="D63" s="44">
        <f t="shared" si="4"/>
        <v>1050</v>
      </c>
      <c r="E63" s="38">
        <f t="shared" si="7"/>
        <v>1323.15</v>
      </c>
      <c r="F63" s="39">
        <f t="shared" si="6"/>
        <v>19001.961460187507</v>
      </c>
      <c r="G63" s="82">
        <f t="shared" si="0"/>
        <v>-0.24422778974417114</v>
      </c>
      <c r="H63" s="84">
        <f t="shared" si="1"/>
        <v>9.852297487566949</v>
      </c>
      <c r="I63" s="40">
        <f t="shared" si="2"/>
        <v>18632.950549872312</v>
      </c>
      <c r="J63" s="86">
        <f t="shared" si="3"/>
        <v>0.980580377921072</v>
      </c>
      <c r="K63" s="32"/>
      <c r="L63" s="32"/>
      <c r="M63" s="24"/>
      <c r="N63" s="24"/>
      <c r="O63" s="24"/>
      <c r="P63" s="24"/>
      <c r="Q63" s="24"/>
      <c r="R63" s="24"/>
    </row>
    <row r="64" spans="4:18" ht="16.5" customHeight="1">
      <c r="D64" s="44">
        <f t="shared" si="4"/>
        <v>1100</v>
      </c>
      <c r="E64" s="38">
        <f t="shared" si="7"/>
        <v>1373.15</v>
      </c>
      <c r="F64" s="39">
        <f t="shared" si="6"/>
        <v>40246.91124955709</v>
      </c>
      <c r="G64" s="82">
        <f t="shared" si="0"/>
        <v>-0.27174744201289014</v>
      </c>
      <c r="H64" s="84">
        <f t="shared" si="1"/>
        <v>10.602788540760672</v>
      </c>
      <c r="I64" s="40">
        <f t="shared" si="2"/>
        <v>39579.53257054824</v>
      </c>
      <c r="J64" s="86">
        <f t="shared" si="3"/>
        <v>0.983417890757612</v>
      </c>
      <c r="K64" s="32"/>
      <c r="L64" s="32"/>
      <c r="M64" s="24"/>
      <c r="N64" s="24"/>
      <c r="O64" s="24"/>
      <c r="P64" s="24"/>
      <c r="Q64" s="24"/>
      <c r="R64" s="24"/>
    </row>
    <row r="65" spans="4:18" ht="16.5" customHeight="1">
      <c r="D65" s="44">
        <f t="shared" si="4"/>
        <v>1150</v>
      </c>
      <c r="E65" s="38">
        <f t="shared" si="7"/>
        <v>1423.15</v>
      </c>
      <c r="F65" s="39">
        <f t="shared" si="6"/>
        <v>80855.39445545388</v>
      </c>
      <c r="G65" s="82">
        <f t="shared" si="0"/>
        <v>-0.29733338017777466</v>
      </c>
      <c r="H65" s="84">
        <f t="shared" si="1"/>
        <v>11.300417584553776</v>
      </c>
      <c r="I65" s="40">
        <f t="shared" si="2"/>
        <v>79815.20838719048</v>
      </c>
      <c r="J65" s="86">
        <f t="shared" si="3"/>
        <v>0.987135229810344</v>
      </c>
      <c r="K65" s="32"/>
      <c r="L65" s="32"/>
      <c r="M65" s="24"/>
      <c r="N65" s="24"/>
      <c r="O65" s="24"/>
      <c r="P65" s="24"/>
      <c r="Q65" s="24"/>
      <c r="R65" s="24"/>
    </row>
    <row r="66" spans="4:18" ht="16.5" customHeight="1">
      <c r="D66" s="44">
        <f t="shared" si="4"/>
        <v>1200</v>
      </c>
      <c r="E66" s="38">
        <f t="shared" si="7"/>
        <v>1473.15</v>
      </c>
      <c r="F66" s="39">
        <f t="shared" si="6"/>
        <v>154875.97646483727</v>
      </c>
      <c r="G66" s="82">
        <f t="shared" si="0"/>
        <v>-0.3211825000848523</v>
      </c>
      <c r="H66" s="84">
        <f t="shared" si="1"/>
        <v>11.950379923769274</v>
      </c>
      <c r="I66" s="40">
        <f t="shared" si="2"/>
        <v>153598.21432081537</v>
      </c>
      <c r="J66" s="86">
        <f t="shared" si="3"/>
        <v>0.9917497718291255</v>
      </c>
      <c r="K66" s="32"/>
      <c r="L66" s="32"/>
      <c r="M66" s="24"/>
      <c r="N66" s="24"/>
      <c r="O66" s="24"/>
      <c r="P66" s="24"/>
      <c r="Q66" s="24"/>
      <c r="R66" s="24"/>
    </row>
    <row r="67" spans="4:18" ht="16.5" customHeight="1">
      <c r="D67" s="44">
        <f t="shared" si="4"/>
        <v>1250</v>
      </c>
      <c r="E67" s="38">
        <f t="shared" si="7"/>
        <v>1523.15</v>
      </c>
      <c r="F67" s="39">
        <f t="shared" si="6"/>
        <v>284125.0825166872</v>
      </c>
      <c r="G67" s="82">
        <f t="shared" si="0"/>
        <v>-0.34346584381052425</v>
      </c>
      <c r="H67" s="84">
        <f t="shared" si="1"/>
        <v>12.55716985157869</v>
      </c>
      <c r="I67" s="40">
        <f t="shared" si="2"/>
        <v>283360.80664870114</v>
      </c>
      <c r="J67" s="86">
        <f t="shared" si="3"/>
        <v>0.9973100725172999</v>
      </c>
      <c r="K67" s="32"/>
      <c r="L67" s="32"/>
      <c r="M67" s="24"/>
      <c r="N67" s="24"/>
      <c r="O67" s="24"/>
      <c r="P67" s="24"/>
      <c r="Q67" s="24"/>
      <c r="R67" s="24"/>
    </row>
    <row r="68" spans="4:18" ht="16.5" customHeight="1">
      <c r="D68" s="44">
        <f t="shared" si="4"/>
        <v>1300</v>
      </c>
      <c r="E68" s="38">
        <f t="shared" si="7"/>
        <v>1573.15</v>
      </c>
      <c r="F68" s="39">
        <f t="shared" si="6"/>
        <v>501160.2731245409</v>
      </c>
      <c r="G68" s="82">
        <f t="shared" si="0"/>
        <v>-0.36433270826049646</v>
      </c>
      <c r="H68" s="84">
        <f t="shared" si="1"/>
        <v>13.124681235344058</v>
      </c>
      <c r="I68" s="40">
        <f t="shared" si="2"/>
        <v>503115.60988862615</v>
      </c>
      <c r="J68" s="86">
        <f t="shared" si="3"/>
        <v>1.003901619639351</v>
      </c>
      <c r="K68" s="53"/>
      <c r="L68" s="23"/>
      <c r="M68" s="24"/>
      <c r="N68" s="24"/>
      <c r="O68" s="24"/>
      <c r="P68" s="24"/>
      <c r="Q68" s="24"/>
      <c r="R68" s="24"/>
    </row>
    <row r="69" spans="4:12" ht="16.5" customHeight="1">
      <c r="D69" s="44">
        <f t="shared" si="4"/>
        <v>1350</v>
      </c>
      <c r="E69" s="38">
        <f t="shared" si="7"/>
        <v>1623.15</v>
      </c>
      <c r="F69" s="39">
        <f t="shared" si="6"/>
        <v>852807.9551198422</v>
      </c>
      <c r="G69" s="82">
        <f t="shared" si="0"/>
        <v>-0.3839139943936174</v>
      </c>
      <c r="H69" s="84">
        <f t="shared" si="1"/>
        <v>13.656289660586422</v>
      </c>
      <c r="I69" s="40">
        <f t="shared" si="2"/>
        <v>862745.3157134136</v>
      </c>
      <c r="J69" s="86">
        <f t="shared" si="3"/>
        <v>1.0116525186402312</v>
      </c>
      <c r="K69" s="32"/>
      <c r="L69" s="23"/>
    </row>
    <row r="70" spans="4:12" ht="16.5" customHeight="1">
      <c r="D70" s="44">
        <f t="shared" si="4"/>
        <v>1400</v>
      </c>
      <c r="E70" s="38">
        <f t="shared" si="7"/>
        <v>1673.15</v>
      </c>
      <c r="F70" s="39">
        <f t="shared" si="6"/>
        <v>1404118.0884076273</v>
      </c>
      <c r="G70" s="82">
        <f t="shared" si="0"/>
        <v>-0.40232495592146555</v>
      </c>
      <c r="H70" s="84">
        <f t="shared" si="1"/>
        <v>14.154919968583409</v>
      </c>
      <c r="I70" s="40">
        <f t="shared" si="2"/>
        <v>1433238.6720821925</v>
      </c>
      <c r="J70" s="86">
        <f t="shared" si="3"/>
        <v>1.0207394121014353</v>
      </c>
      <c r="K70" s="32"/>
      <c r="L70" s="23"/>
    </row>
    <row r="71" spans="4:12" ht="16.5" customHeight="1">
      <c r="D71" s="44">
        <f t="shared" si="4"/>
        <v>1450</v>
      </c>
      <c r="E71" s="38">
        <f t="shared" si="7"/>
        <v>1723.15</v>
      </c>
      <c r="F71" s="39">
        <f t="shared" si="6"/>
        <v>2242500.5913930465</v>
      </c>
      <c r="G71" s="82">
        <f t="shared" si="0"/>
        <v>-0.41966746946000066</v>
      </c>
      <c r="H71" s="84">
        <f t="shared" si="1"/>
        <v>14.623102136635476</v>
      </c>
      <c r="I71" s="40">
        <f t="shared" si="2"/>
        <v>2312901.626927803</v>
      </c>
      <c r="J71" s="86">
        <f t="shared" si="3"/>
        <v>1.0313939874999198</v>
      </c>
      <c r="K71" s="32"/>
      <c r="L71" s="32"/>
    </row>
    <row r="72" spans="4:12" ht="16.5" customHeight="1">
      <c r="D72" s="44">
        <f t="shared" si="4"/>
        <v>1500</v>
      </c>
      <c r="E72" s="38">
        <f t="shared" si="7"/>
        <v>1773.15</v>
      </c>
      <c r="F72" s="39">
        <f t="shared" si="6"/>
        <v>3481653.1699333903</v>
      </c>
      <c r="G72" s="82">
        <f t="shared" si="0"/>
        <v>-0.43603192059329443</v>
      </c>
      <c r="H72" s="84">
        <f t="shared" si="1"/>
        <v>15.063017787782117</v>
      </c>
      <c r="I72" s="40">
        <f t="shared" si="2"/>
        <v>3634534.3414579765</v>
      </c>
      <c r="J72" s="86">
        <f t="shared" si="3"/>
        <v>1.0439105114905833</v>
      </c>
      <c r="K72" s="32"/>
      <c r="L72" s="32"/>
    </row>
    <row r="73" spans="4:8" ht="12">
      <c r="D73" s="46"/>
      <c r="E73" s="48"/>
      <c r="F73" s="48"/>
      <c r="G73" s="48"/>
      <c r="H73" s="47"/>
    </row>
    <row r="74" spans="4:8" ht="12">
      <c r="D74" s="46"/>
      <c r="E74" s="48"/>
      <c r="F74" s="48"/>
      <c r="G74" s="48"/>
      <c r="H74" s="47"/>
    </row>
    <row r="75" spans="4:8" ht="12">
      <c r="D75" s="46"/>
      <c r="E75" s="48"/>
      <c r="F75" s="48"/>
      <c r="G75" s="48"/>
      <c r="H75" s="47"/>
    </row>
    <row r="76" spans="4:8" ht="12">
      <c r="D76" s="46"/>
      <c r="E76" s="48"/>
      <c r="F76" s="48"/>
      <c r="G76" s="48"/>
      <c r="H76" s="47"/>
    </row>
    <row r="77" spans="4:8" ht="12">
      <c r="D77" s="46"/>
      <c r="E77" s="48"/>
      <c r="F77" s="48"/>
      <c r="G77" s="48"/>
      <c r="H77" s="47"/>
    </row>
    <row r="78" spans="4:8" ht="12">
      <c r="D78" s="46"/>
      <c r="E78" s="48"/>
      <c r="F78" s="48"/>
      <c r="G78" s="48"/>
      <c r="H78" s="47"/>
    </row>
    <row r="79" spans="4:8" ht="12">
      <c r="D79" s="46"/>
      <c r="E79" s="48"/>
      <c r="F79" s="48"/>
      <c r="G79" s="48"/>
      <c r="H79" s="47"/>
    </row>
    <row r="80" spans="4:7" ht="12">
      <c r="D80" s="46"/>
      <c r="E80" s="48"/>
      <c r="F80" s="48"/>
      <c r="G80" s="48"/>
    </row>
    <row r="81" spans="4:7" ht="12">
      <c r="D81" s="46"/>
      <c r="E81" s="45"/>
      <c r="F81" s="45"/>
      <c r="G81" s="45"/>
    </row>
  </sheetData>
  <mergeCells count="2">
    <mergeCell ref="E3:G3"/>
    <mergeCell ref="H3:J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3:R81"/>
  <sheetViews>
    <sheetView tabSelected="1" workbookViewId="0" topLeftCell="A35">
      <selection activeCell="B59" sqref="B59"/>
    </sheetView>
  </sheetViews>
  <sheetFormatPr defaultColWidth="9.00390625" defaultRowHeight="13.5"/>
  <cols>
    <col min="1" max="1" width="2.25390625" style="1" customWidth="1"/>
    <col min="2" max="2" width="21.375" style="1" customWidth="1"/>
    <col min="3" max="3" width="9.50390625" style="1" customWidth="1"/>
    <col min="4" max="4" width="8.375" style="1" customWidth="1"/>
    <col min="5" max="5" width="8.625" style="1" customWidth="1"/>
    <col min="6" max="6" width="8.375" style="1" customWidth="1"/>
    <col min="7" max="7" width="9.125" style="1" customWidth="1"/>
    <col min="8" max="8" width="8.50390625" style="1" customWidth="1"/>
    <col min="9" max="9" width="8.75390625" style="1" customWidth="1"/>
    <col min="10" max="10" width="8.625" style="2" customWidth="1"/>
    <col min="11" max="14" width="8.625" style="1" customWidth="1"/>
    <col min="15" max="15" width="8.875" style="1" customWidth="1"/>
    <col min="16" max="16" width="9.25390625" style="1" customWidth="1"/>
    <col min="17" max="17" width="8.875" style="1" customWidth="1"/>
    <col min="18" max="18" width="9.125" style="1" customWidth="1"/>
    <col min="19" max="16384" width="9.00390625" style="1" customWidth="1"/>
  </cols>
  <sheetData>
    <row r="1" ht="16.5" customHeight="1"/>
    <row r="2" ht="16.5" customHeight="1" thickBot="1"/>
    <row r="3" spans="2:12" ht="16.5" customHeight="1">
      <c r="B3" s="3"/>
      <c r="C3" s="4"/>
      <c r="D3" s="5"/>
      <c r="E3" s="91" t="s">
        <v>0</v>
      </c>
      <c r="F3" s="92"/>
      <c r="G3" s="93"/>
      <c r="H3" s="91" t="s">
        <v>1</v>
      </c>
      <c r="I3" s="92"/>
      <c r="J3" s="93"/>
      <c r="L3" s="2"/>
    </row>
    <row r="4" spans="2:12" ht="16.5" customHeight="1">
      <c r="B4" s="6"/>
      <c r="C4" s="7"/>
      <c r="D4" s="8"/>
      <c r="E4" s="9" t="s">
        <v>35</v>
      </c>
      <c r="F4" s="10" t="s">
        <v>36</v>
      </c>
      <c r="G4" s="11" t="s">
        <v>37</v>
      </c>
      <c r="H4" s="9" t="s">
        <v>38</v>
      </c>
      <c r="I4" s="10" t="s">
        <v>42</v>
      </c>
      <c r="J4" s="11" t="s">
        <v>52</v>
      </c>
      <c r="L4" s="2"/>
    </row>
    <row r="5" spans="2:13" ht="16.5" customHeight="1" thickBot="1">
      <c r="B5" s="54"/>
      <c r="C5" s="55"/>
      <c r="D5" s="56"/>
      <c r="E5" s="14" t="s">
        <v>53</v>
      </c>
      <c r="F5" s="15" t="s">
        <v>94</v>
      </c>
      <c r="G5" s="16" t="s">
        <v>41</v>
      </c>
      <c r="H5" s="14" t="s">
        <v>139</v>
      </c>
      <c r="I5" s="15" t="s">
        <v>140</v>
      </c>
      <c r="J5" s="16" t="s">
        <v>34</v>
      </c>
      <c r="L5" s="2" t="s">
        <v>55</v>
      </c>
      <c r="M5" s="1" t="s">
        <v>11</v>
      </c>
    </row>
    <row r="6" spans="2:13" ht="16.5" customHeight="1">
      <c r="B6" s="3" t="s">
        <v>2</v>
      </c>
      <c r="C6" s="4" t="s">
        <v>119</v>
      </c>
      <c r="D6" s="57"/>
      <c r="E6" s="68">
        <v>1</v>
      </c>
      <c r="F6" s="69">
        <v>1</v>
      </c>
      <c r="G6" s="70">
        <v>0</v>
      </c>
      <c r="H6" s="68">
        <v>1</v>
      </c>
      <c r="I6" s="69">
        <v>1</v>
      </c>
      <c r="J6" s="70">
        <v>0</v>
      </c>
      <c r="L6" s="2" t="s">
        <v>120</v>
      </c>
      <c r="M6" s="1" t="s">
        <v>10</v>
      </c>
    </row>
    <row r="7" spans="2:13" ht="16.5" customHeight="1">
      <c r="B7" s="6" t="s">
        <v>12</v>
      </c>
      <c r="C7" s="7" t="s">
        <v>56</v>
      </c>
      <c r="D7" s="20" t="s">
        <v>99</v>
      </c>
      <c r="E7" s="67">
        <f>HLOOKUP(E$5,Thermophysical!$D$5:$I$14,4,0)</f>
        <v>-137.2</v>
      </c>
      <c r="F7" s="66">
        <f>HLOOKUP(F$5,Thermophysical!$D$5:$I$14,4,0)</f>
        <v>-228.6</v>
      </c>
      <c r="G7" s="71">
        <f>HLOOKUP(G$5,Thermophysical!$D$5:$I$14,4,0)</f>
        <v>0</v>
      </c>
      <c r="H7" s="67">
        <f>HLOOKUP(H$5,Thermophysical!$D$5:$I$14,4,0)</f>
        <v>-394.4</v>
      </c>
      <c r="I7" s="66">
        <f>HLOOKUP(I$5,Thermophysical!$D$5:$I$14,4,0)</f>
        <v>0</v>
      </c>
      <c r="J7" s="71">
        <f>HLOOKUP(J$5,Thermophysical!$D$5:$I$14,4,0)</f>
        <v>0</v>
      </c>
      <c r="L7" s="2" t="s">
        <v>57</v>
      </c>
      <c r="M7" s="1" t="s">
        <v>28</v>
      </c>
    </row>
    <row r="8" spans="2:13" ht="16.5" customHeight="1">
      <c r="B8" s="6" t="s">
        <v>13</v>
      </c>
      <c r="C8" s="7" t="s">
        <v>58</v>
      </c>
      <c r="D8" s="20" t="s">
        <v>99</v>
      </c>
      <c r="E8" s="67">
        <f>HLOOKUP(E$5,Thermophysical!$D$5:$I$14,3,0)</f>
        <v>-110.54</v>
      </c>
      <c r="F8" s="66">
        <f>HLOOKUP(F$5,Thermophysical!$D$5:$I$14,3,0)</f>
        <v>-241.8</v>
      </c>
      <c r="G8" s="71">
        <f>HLOOKUP(G$5,Thermophysical!$D$5:$I$14,3,0)</f>
        <v>0</v>
      </c>
      <c r="H8" s="67">
        <f>HLOOKUP(H$5,Thermophysical!$D$5:$I$14,3,0)</f>
        <v>-393.51</v>
      </c>
      <c r="I8" s="66">
        <f>HLOOKUP(I$5,Thermophysical!$D$5:$I$14,3,0)</f>
        <v>0</v>
      </c>
      <c r="J8" s="71">
        <f>HLOOKUP(J$5,Thermophysical!$D$5:$I$14,3,0)</f>
        <v>0</v>
      </c>
      <c r="L8" s="2" t="s">
        <v>59</v>
      </c>
      <c r="M8" s="1" t="s">
        <v>29</v>
      </c>
    </row>
    <row r="9" spans="2:12" ht="16.5" customHeight="1">
      <c r="B9" s="6" t="s">
        <v>40</v>
      </c>
      <c r="C9" s="7" t="s">
        <v>60</v>
      </c>
      <c r="D9" s="20" t="s">
        <v>121</v>
      </c>
      <c r="E9" s="67">
        <f>HLOOKUP(E$5,Thermophysical!$D$5:$I$14,5,0)</f>
        <v>197.54</v>
      </c>
      <c r="F9" s="66">
        <f>HLOOKUP(F$5,Thermophysical!$D$5:$I$14,5,0)</f>
        <v>188.72</v>
      </c>
      <c r="G9" s="71">
        <f>HLOOKUP(G$5,Thermophysical!$D$5:$I$14,5,0)</f>
        <v>0</v>
      </c>
      <c r="H9" s="67">
        <f>HLOOKUP(H$5,Thermophysical!$D$5:$I$14,5,0)</f>
        <v>213.69</v>
      </c>
      <c r="I9" s="66">
        <f>HLOOKUP(I$5,Thermophysical!$D$5:$I$14,5,0)</f>
        <v>130.57</v>
      </c>
      <c r="J9" s="71">
        <f>HLOOKUP(J$5,Thermophysical!$D$5:$I$14,5,0)</f>
        <v>0</v>
      </c>
      <c r="L9" s="2"/>
    </row>
    <row r="10" spans="2:13" ht="16.5" customHeight="1">
      <c r="B10" s="6" t="s">
        <v>107</v>
      </c>
      <c r="C10" s="7"/>
      <c r="D10" s="20" t="s">
        <v>122</v>
      </c>
      <c r="E10" s="67">
        <f>HLOOKUP(E$5,Thermophysical!$D$5:$I$14,6,0)</f>
        <v>29.556</v>
      </c>
      <c r="F10" s="66">
        <f>HLOOKUP(F$5,Thermophysical!$D$5:$I$14,6,0)</f>
        <v>33.933</v>
      </c>
      <c r="G10" s="71">
        <f>HLOOKUP(G$5,Thermophysical!$D$5:$I$14,6,0)</f>
        <v>0</v>
      </c>
      <c r="H10" s="67">
        <f>HLOOKUP(H$5,Thermophysical!$D$5:$I$14,6,0)</f>
        <v>27.437</v>
      </c>
      <c r="I10" s="66">
        <f>HLOOKUP(I$5,Thermophysical!$D$5:$I$14,6,0)</f>
        <v>25.399</v>
      </c>
      <c r="J10" s="71">
        <f>HLOOKUP(J$5,Thermophysical!$D$5:$I$14,6,0)</f>
        <v>0</v>
      </c>
      <c r="L10" s="2" t="s">
        <v>123</v>
      </c>
      <c r="M10" s="1" t="s">
        <v>30</v>
      </c>
    </row>
    <row r="11" spans="2:13" ht="16.5" customHeight="1">
      <c r="B11" s="6" t="s">
        <v>108</v>
      </c>
      <c r="C11" s="7"/>
      <c r="D11" s="20" t="s">
        <v>122</v>
      </c>
      <c r="E11" s="72">
        <f>HLOOKUP(E$5,Thermophysical!$D$5:$I$14,7,0)</f>
        <v>-0.0065807</v>
      </c>
      <c r="F11" s="65">
        <f>HLOOKUP(F$5,Thermophysical!$D$5:$I$14,7,0)</f>
        <v>-0.0084186</v>
      </c>
      <c r="G11" s="73">
        <f>HLOOKUP(G$5,Thermophysical!$D$5:$I$14,7,0)</f>
        <v>0</v>
      </c>
      <c r="H11" s="72">
        <f>HLOOKUP(H$5,Thermophysical!$D$5:$I$14,7,0)</f>
        <v>0.042315</v>
      </c>
      <c r="I11" s="65">
        <f>HLOOKUP(I$5,Thermophysical!$D$5:$I$14,7,0)</f>
        <v>0.02017</v>
      </c>
      <c r="J11" s="73">
        <f>HLOOKUP(J$5,Thermophysical!$D$5:$I$14,7,0)</f>
        <v>0</v>
      </c>
      <c r="L11" s="2" t="s">
        <v>124</v>
      </c>
      <c r="M11" s="1" t="s">
        <v>31</v>
      </c>
    </row>
    <row r="12" spans="2:13" ht="16.5" customHeight="1">
      <c r="B12" s="6" t="s">
        <v>109</v>
      </c>
      <c r="C12" s="7"/>
      <c r="D12" s="20" t="s">
        <v>122</v>
      </c>
      <c r="E12" s="72">
        <f>HLOOKUP(E$5,Thermophysical!$D$5:$I$14,8,0)</f>
        <v>2.013E-05</v>
      </c>
      <c r="F12" s="65">
        <f>HLOOKUP(F$5,Thermophysical!$D$5:$I$14,8,0)</f>
        <v>2.9906E-05</v>
      </c>
      <c r="G12" s="73">
        <f>HLOOKUP(G$5,Thermophysical!$D$5:$I$14,8,0)</f>
        <v>0</v>
      </c>
      <c r="H12" s="72">
        <f>HLOOKUP(H$5,Thermophysical!$D$5:$I$14,8,0)</f>
        <v>-1.9555E-05</v>
      </c>
      <c r="I12" s="65">
        <f>HLOOKUP(I$5,Thermophysical!$D$5:$I$14,8,0)</f>
        <v>-3.8549E-05</v>
      </c>
      <c r="J12" s="73">
        <f>HLOOKUP(J$5,Thermophysical!$D$5:$I$14,8,0)</f>
        <v>0</v>
      </c>
      <c r="L12" s="2" t="s">
        <v>125</v>
      </c>
      <c r="M12" s="1" t="s">
        <v>32</v>
      </c>
    </row>
    <row r="13" spans="2:12" ht="16.5" customHeight="1">
      <c r="B13" s="6" t="s">
        <v>110</v>
      </c>
      <c r="C13" s="7"/>
      <c r="D13" s="20" t="s">
        <v>122</v>
      </c>
      <c r="E13" s="72">
        <f>HLOOKUP(E$5,Thermophysical!$D$5:$I$14,9,0)</f>
        <v>-1.2227E-08</v>
      </c>
      <c r="F13" s="65">
        <f>HLOOKUP(F$5,Thermophysical!$D$5:$I$14,9,0)</f>
        <v>-1.7825E-08</v>
      </c>
      <c r="G13" s="73">
        <f>HLOOKUP(G$5,Thermophysical!$D$5:$I$14,9,0)</f>
        <v>0</v>
      </c>
      <c r="H13" s="72">
        <f>HLOOKUP(H$5,Thermophysical!$D$5:$I$14,9,0)</f>
        <v>3.9968E-09</v>
      </c>
      <c r="I13" s="65">
        <f>HLOOKUP(I$5,Thermophysical!$D$5:$I$14,9,0)</f>
        <v>3.188E-08</v>
      </c>
      <c r="J13" s="73">
        <f>HLOOKUP(J$5,Thermophysical!$D$5:$I$14,9,0)</f>
        <v>0</v>
      </c>
      <c r="L13" s="2"/>
    </row>
    <row r="14" spans="2:12" ht="16.5" customHeight="1" thickBot="1">
      <c r="B14" s="12" t="s">
        <v>111</v>
      </c>
      <c r="C14" s="13"/>
      <c r="D14" s="28" t="s">
        <v>122</v>
      </c>
      <c r="E14" s="74">
        <f>HLOOKUP(E$5,Thermophysical!$D$5:$I$14,10,0)</f>
        <v>2.2617E-12</v>
      </c>
      <c r="F14" s="75">
        <f>HLOOKUP(F$5,Thermophysical!$D$5:$I$14,10,0)</f>
        <v>3.6934E-12</v>
      </c>
      <c r="G14" s="76">
        <f>HLOOKUP(G$5,Thermophysical!$D$5:$I$14,10,0)</f>
        <v>0</v>
      </c>
      <c r="H14" s="74">
        <f>HLOOKUP(H$5,Thermophysical!$D$5:$I$14,10,0)</f>
        <v>-2.9872E-13</v>
      </c>
      <c r="I14" s="75">
        <f>HLOOKUP(I$5,Thermophysical!$D$5:$I$14,10,0)</f>
        <v>-8.7585E-12</v>
      </c>
      <c r="J14" s="76">
        <f>HLOOKUP(J$5,Thermophysical!$D$5:$I$14,10,0)</f>
        <v>0</v>
      </c>
      <c r="L14" s="2"/>
    </row>
    <row r="15" spans="6:12" ht="16.5" customHeight="1">
      <c r="F15" s="53"/>
      <c r="G15" s="53"/>
      <c r="H15" s="52"/>
      <c r="I15" s="52"/>
      <c r="J15" s="53"/>
      <c r="L15" s="2"/>
    </row>
    <row r="16" ht="16.5" customHeight="1" thickBot="1">
      <c r="K16" s="2"/>
    </row>
    <row r="17" spans="2:10" ht="16.5" customHeight="1">
      <c r="B17" s="3" t="s">
        <v>14</v>
      </c>
      <c r="C17" s="4" t="s">
        <v>64</v>
      </c>
      <c r="D17" s="17" t="s">
        <v>126</v>
      </c>
      <c r="E17" s="18">
        <f>H6*H7+I6*I7+J6*J7-(E6*E7+F6*F7+G6*G7)</f>
        <v>-28.600000000000023</v>
      </c>
      <c r="G17" s="2" t="s">
        <v>65</v>
      </c>
      <c r="H17" s="19" t="s">
        <v>16</v>
      </c>
      <c r="J17" s="1"/>
    </row>
    <row r="18" spans="2:8" s="24" customFormat="1" ht="16.5" customHeight="1">
      <c r="B18" s="6" t="s">
        <v>15</v>
      </c>
      <c r="C18" s="7" t="s">
        <v>66</v>
      </c>
      <c r="D18" s="20" t="s">
        <v>127</v>
      </c>
      <c r="E18" s="21">
        <f>H$6*H8+I$6*I8+J8*J6-(E$6*E8+F$6*F8+G6*G8)</f>
        <v>-41.16999999999996</v>
      </c>
      <c r="F18" s="22"/>
      <c r="G18" s="32" t="s">
        <v>67</v>
      </c>
      <c r="H18" s="23" t="s">
        <v>17</v>
      </c>
    </row>
    <row r="19" spans="2:8" s="24" customFormat="1" ht="16.5" customHeight="1">
      <c r="B19" s="6" t="s">
        <v>39</v>
      </c>
      <c r="C19" s="7" t="s">
        <v>68</v>
      </c>
      <c r="D19" s="20" t="s">
        <v>128</v>
      </c>
      <c r="E19" s="21">
        <f>H$6*H9+I$6*I9+J6*J9-(E$6*E9+F$6*F9+G6*G9)</f>
        <v>-42</v>
      </c>
      <c r="F19" s="22"/>
      <c r="G19" s="32"/>
      <c r="H19" s="23" t="s">
        <v>141</v>
      </c>
    </row>
    <row r="20" spans="2:8" s="24" customFormat="1" ht="16.5" customHeight="1">
      <c r="B20" s="6" t="s">
        <v>112</v>
      </c>
      <c r="C20" s="7" t="s">
        <v>129</v>
      </c>
      <c r="D20" s="20"/>
      <c r="E20" s="25">
        <f>H$6*H10+I$6*I10+J$6*J10-(E$6*E10+F$6*F10+G$6*G10)</f>
        <v>-10.653000000000006</v>
      </c>
      <c r="F20" s="22"/>
      <c r="G20" s="32" t="s">
        <v>130</v>
      </c>
      <c r="H20" s="24" t="s">
        <v>18</v>
      </c>
    </row>
    <row r="21" spans="2:8" s="24" customFormat="1" ht="16.5" customHeight="1">
      <c r="B21" s="6" t="s">
        <v>112</v>
      </c>
      <c r="C21" s="7" t="s">
        <v>131</v>
      </c>
      <c r="D21" s="20"/>
      <c r="E21" s="77">
        <f>H$6*H11+I$6*I11+J$6*J11-(E$6*E11+F$6*F11+G$6*G11)</f>
        <v>0.0774843</v>
      </c>
      <c r="F21" s="22"/>
      <c r="G21" s="32" t="s">
        <v>132</v>
      </c>
      <c r="H21" s="24" t="s">
        <v>19</v>
      </c>
    </row>
    <row r="22" spans="2:8" s="24" customFormat="1" ht="16.5" customHeight="1">
      <c r="B22" s="6" t="s">
        <v>112</v>
      </c>
      <c r="C22" s="7" t="s">
        <v>133</v>
      </c>
      <c r="D22" s="20"/>
      <c r="E22" s="77">
        <f>H$6*H12+I$6*I12+J$6*J12-(E$6*E12+F$6*F12+G$6*G12)</f>
        <v>-0.00010814</v>
      </c>
      <c r="F22" s="22"/>
      <c r="G22" s="32" t="s">
        <v>134</v>
      </c>
      <c r="H22" s="24" t="s">
        <v>20</v>
      </c>
    </row>
    <row r="23" spans="2:7" s="24" customFormat="1" ht="16.5" customHeight="1">
      <c r="B23" s="6" t="s">
        <v>112</v>
      </c>
      <c r="C23" s="7" t="s">
        <v>135</v>
      </c>
      <c r="D23" s="20"/>
      <c r="E23" s="77">
        <f>H$6*H13+I$6*I13+J$6*J13-(E$6*E13+F$6*F13+G$6*G13)</f>
        <v>6.59288E-08</v>
      </c>
      <c r="F23" s="22"/>
      <c r="G23" s="32"/>
    </row>
    <row r="24" spans="2:7" s="24" customFormat="1" ht="16.5" customHeight="1">
      <c r="B24" s="6" t="s">
        <v>112</v>
      </c>
      <c r="C24" s="7" t="s">
        <v>136</v>
      </c>
      <c r="D24" s="20"/>
      <c r="E24" s="77">
        <f>H$6*H14+I$6*I14+J$6*J14-(E$6*E14+F$6*F14+G$6*G14)</f>
        <v>-1.501232E-11</v>
      </c>
      <c r="F24" s="22"/>
      <c r="G24" s="32"/>
    </row>
    <row r="25" spans="2:10" ht="16.5" customHeight="1">
      <c r="B25" s="6" t="s">
        <v>3</v>
      </c>
      <c r="C25" s="7" t="s">
        <v>75</v>
      </c>
      <c r="D25" s="20" t="s">
        <v>137</v>
      </c>
      <c r="E25" s="79">
        <f>E18*1000-E20*E$28-E21/2*E$28^2-E22/3*E$28^3-E23/4*E$28^4-E24/5*E$28^5</f>
        <v>-40605.534091627385</v>
      </c>
      <c r="G25" s="2" t="s">
        <v>76</v>
      </c>
      <c r="H25" s="19" t="s">
        <v>21</v>
      </c>
      <c r="J25" s="1"/>
    </row>
    <row r="26" spans="2:10" ht="16.5" customHeight="1">
      <c r="B26" s="6" t="s">
        <v>77</v>
      </c>
      <c r="C26" s="26" t="s">
        <v>78</v>
      </c>
      <c r="D26" s="20"/>
      <c r="E26" s="25">
        <f>-E17*1000/(E27*E28)</f>
        <v>11.537335678513314</v>
      </c>
      <c r="G26" s="2" t="s">
        <v>79</v>
      </c>
      <c r="H26" s="19" t="s">
        <v>45</v>
      </c>
      <c r="J26" s="1"/>
    </row>
    <row r="27" spans="2:10" ht="16.5" customHeight="1">
      <c r="B27" s="6" t="s">
        <v>22</v>
      </c>
      <c r="C27" s="7" t="s">
        <v>80</v>
      </c>
      <c r="D27" s="20" t="s">
        <v>121</v>
      </c>
      <c r="E27" s="78">
        <v>8.3143</v>
      </c>
      <c r="G27" s="2" t="s">
        <v>81</v>
      </c>
      <c r="H27" s="1" t="s">
        <v>24</v>
      </c>
      <c r="J27" s="1"/>
    </row>
    <row r="28" spans="2:10" ht="16.5" customHeight="1">
      <c r="B28" s="6" t="s">
        <v>23</v>
      </c>
      <c r="C28" s="7" t="s">
        <v>82</v>
      </c>
      <c r="D28" s="20" t="s">
        <v>138</v>
      </c>
      <c r="E28" s="78">
        <v>298.15</v>
      </c>
      <c r="G28" s="2" t="s">
        <v>83</v>
      </c>
      <c r="H28" s="1" t="s">
        <v>25</v>
      </c>
      <c r="J28" s="1"/>
    </row>
    <row r="29" spans="2:10" ht="16.5" customHeight="1" thickBot="1">
      <c r="B29" s="12" t="s">
        <v>4</v>
      </c>
      <c r="C29" s="13" t="s">
        <v>84</v>
      </c>
      <c r="D29" s="28"/>
      <c r="E29" s="29">
        <f>E26+E25/(E27*E$28)-E20/E27*LN(E$28)-E21/(2*E27)*E$28-E22/(6*E27)*E$28^2-E23/(12*E27)*E$28^3-E24/(20*E27)*E$28^4</f>
        <v>1.2437898462826602</v>
      </c>
      <c r="G29" s="2" t="s">
        <v>85</v>
      </c>
      <c r="H29" s="19" t="s">
        <v>26</v>
      </c>
      <c r="J29" s="1"/>
    </row>
    <row r="30" ht="16.5" customHeight="1" thickBot="1">
      <c r="K30" s="19"/>
    </row>
    <row r="31" spans="2:5" ht="16.5" customHeight="1">
      <c r="B31" s="3" t="s">
        <v>5</v>
      </c>
      <c r="C31" s="4"/>
      <c r="D31" s="17" t="s">
        <v>86</v>
      </c>
      <c r="E31" s="80">
        <v>25</v>
      </c>
    </row>
    <row r="32" spans="2:5" ht="16.5" customHeight="1">
      <c r="B32" s="6" t="s">
        <v>27</v>
      </c>
      <c r="C32" s="7"/>
      <c r="D32" s="20" t="s">
        <v>87</v>
      </c>
      <c r="E32" s="81">
        <f>E31+273.15</f>
        <v>298.15</v>
      </c>
    </row>
    <row r="33" spans="2:5" ht="16.5" customHeight="1">
      <c r="B33" s="6" t="s">
        <v>88</v>
      </c>
      <c r="C33" s="7"/>
      <c r="D33" s="20"/>
      <c r="E33" s="27">
        <f>-E25/(E$27*E$28)+E$20/E$27*LN(E$28)+E$21/(2*E$27)*E$28+E$22/(6*E$27)*E$28^2+E$23/(12*E$27)*E$28^3+E$24/(20*E$27)*E$28^4+$E$29</f>
        <v>11.537335678513314</v>
      </c>
    </row>
    <row r="34" spans="2:7" ht="16.5" customHeight="1" thickBot="1">
      <c r="B34" s="12" t="s">
        <v>6</v>
      </c>
      <c r="C34" s="13" t="s">
        <v>89</v>
      </c>
      <c r="D34" s="28"/>
      <c r="E34" s="30">
        <f>EXP(E33)</f>
        <v>102471.05818441608</v>
      </c>
      <c r="G34" s="31"/>
    </row>
    <row r="35" spans="11:18" ht="16.5" customHeight="1">
      <c r="K35" s="24"/>
      <c r="L35" s="24"/>
      <c r="M35" s="24"/>
      <c r="R35" s="24"/>
    </row>
    <row r="36" spans="2:18" ht="16.5" customHeight="1">
      <c r="B36" s="49" t="s">
        <v>33</v>
      </c>
      <c r="C36" s="7" t="s">
        <v>142</v>
      </c>
      <c r="D36" s="88">
        <v>150</v>
      </c>
      <c r="K36" s="24"/>
      <c r="L36" s="24"/>
      <c r="M36" s="24"/>
      <c r="R36" s="24"/>
    </row>
    <row r="37" spans="3:18" ht="16.5" customHeight="1">
      <c r="C37" s="7" t="s">
        <v>143</v>
      </c>
      <c r="D37" s="88">
        <v>30</v>
      </c>
      <c r="K37" s="24"/>
      <c r="L37" s="24"/>
      <c r="M37" s="24"/>
      <c r="R37" s="24"/>
    </row>
    <row r="38" spans="11:18" ht="16.5" customHeight="1">
      <c r="K38" s="24"/>
      <c r="L38" s="32"/>
      <c r="M38" s="32"/>
      <c r="N38" s="32"/>
      <c r="O38" s="33"/>
      <c r="P38" s="33"/>
      <c r="Q38" s="34"/>
      <c r="R38" s="34"/>
    </row>
    <row r="39" spans="10:18" ht="16.5" customHeight="1">
      <c r="J39" s="35"/>
      <c r="K39" s="32"/>
      <c r="L39" s="32"/>
      <c r="M39" s="32"/>
      <c r="N39" s="32"/>
      <c r="O39" s="32"/>
      <c r="P39" s="32"/>
      <c r="Q39" s="32"/>
      <c r="R39" s="32"/>
    </row>
    <row r="40" spans="11:18" ht="16.5" customHeight="1">
      <c r="K40" s="32"/>
      <c r="L40" s="32"/>
      <c r="M40" s="32"/>
      <c r="N40" s="32"/>
      <c r="O40" s="24"/>
      <c r="P40" s="32"/>
      <c r="Q40" s="32"/>
      <c r="R40" s="32"/>
    </row>
    <row r="41" spans="4:18" ht="16.5" customHeight="1">
      <c r="D41" s="10" t="s">
        <v>90</v>
      </c>
      <c r="E41" s="36" t="s">
        <v>91</v>
      </c>
      <c r="F41" s="10" t="s">
        <v>92</v>
      </c>
      <c r="G41" s="89" t="s">
        <v>144</v>
      </c>
      <c r="H41" s="83" t="s">
        <v>93</v>
      </c>
      <c r="I41" s="10" t="s">
        <v>92</v>
      </c>
      <c r="J41" s="85">
        <f>ABS(1-AVERAGE(J42:J72))</f>
        <v>0.00016277432712663575</v>
      </c>
      <c r="K41" s="32"/>
      <c r="L41" s="32"/>
      <c r="M41" s="32"/>
      <c r="N41" s="32"/>
      <c r="O41" s="24"/>
      <c r="P41" s="32"/>
      <c r="Q41" s="32"/>
      <c r="R41" s="32"/>
    </row>
    <row r="42" spans="4:18" ht="16.5" customHeight="1">
      <c r="D42" s="44">
        <f>D36</f>
        <v>150</v>
      </c>
      <c r="E42" s="38">
        <f>D42+273.15</f>
        <v>423.15</v>
      </c>
      <c r="F42" s="39">
        <f aca="true" t="shared" si="0" ref="F42:F72">EXP(-E$25/(E$27*$E42)+E$20/E$27*LN($E42)+E$21/(2*E$27)*$E42+E$22/(6*E$27)*$E42^2+E$23/(12*E$27)*$E42^3+E$24/(20*E$27)*$E42^4+$E$29)</f>
        <v>786.2491138556613</v>
      </c>
      <c r="G42" s="82">
        <f aca="true" t="shared" si="1" ref="G42:G72">1000/E42-1</f>
        <v>1.3632281696797826</v>
      </c>
      <c r="H42" s="84">
        <f aca="true" t="shared" si="2" ref="H42:H72">LN(F42)</f>
        <v>6.667273680962392</v>
      </c>
      <c r="I42" s="40">
        <f>EXP(-0.142006*G42^3+0.504847*G42^2+4.21268*G42+0.341853)</f>
        <v>783.0062070999694</v>
      </c>
      <c r="J42" s="86">
        <f>I42/F42</f>
        <v>0.99587547165581</v>
      </c>
      <c r="K42" s="32"/>
      <c r="L42" s="32"/>
      <c r="M42" s="43"/>
      <c r="N42" s="41"/>
      <c r="O42" s="34"/>
      <c r="P42" s="42"/>
      <c r="Q42" s="42"/>
      <c r="R42" s="42"/>
    </row>
    <row r="43" spans="4:18" ht="16.5" customHeight="1">
      <c r="D43" s="44">
        <f>D36+$D$37</f>
        <v>180</v>
      </c>
      <c r="E43" s="38">
        <f aca="true" t="shared" si="3" ref="E43:E72">D43+273.15</f>
        <v>453.15</v>
      </c>
      <c r="F43" s="39">
        <f t="shared" si="0"/>
        <v>368.23909354714897</v>
      </c>
      <c r="G43" s="82">
        <f t="shared" si="1"/>
        <v>1.2067747986317996</v>
      </c>
      <c r="H43" s="84">
        <f t="shared" si="2"/>
        <v>5.9087324379242405</v>
      </c>
      <c r="I43" s="40">
        <f aca="true" t="shared" si="4" ref="I43:I72">EXP(-0.142006*G43^3+0.504847*G43^2+4.21268*G43+0.341853)</f>
        <v>369.1689853624858</v>
      </c>
      <c r="J43" s="86">
        <f aca="true" t="shared" si="5" ref="J43:J72">I43/F43</f>
        <v>1.002525239257949</v>
      </c>
      <c r="K43" s="32"/>
      <c r="L43" s="32"/>
      <c r="M43" s="43"/>
      <c r="N43" s="41"/>
      <c r="O43" s="34"/>
      <c r="P43" s="42"/>
      <c r="Q43" s="42"/>
      <c r="R43" s="42"/>
    </row>
    <row r="44" spans="4:18" ht="16.5" customHeight="1">
      <c r="D44" s="44">
        <f aca="true" t="shared" si="6" ref="D44:D72">D43+$D$37</f>
        <v>210</v>
      </c>
      <c r="E44" s="38">
        <f t="shared" si="3"/>
        <v>483.15</v>
      </c>
      <c r="F44" s="39">
        <f t="shared" si="0"/>
        <v>190.22782704441926</v>
      </c>
      <c r="G44" s="82">
        <f t="shared" si="1"/>
        <v>1.0697505950532964</v>
      </c>
      <c r="H44" s="84">
        <f t="shared" si="2"/>
        <v>5.2482224435340665</v>
      </c>
      <c r="I44" s="40">
        <f t="shared" si="4"/>
        <v>190.99705524493615</v>
      </c>
      <c r="J44" s="86">
        <f t="shared" si="5"/>
        <v>1.0040437206925423</v>
      </c>
      <c r="K44" s="32"/>
      <c r="L44" s="32"/>
      <c r="M44" s="43"/>
      <c r="N44" s="41"/>
      <c r="O44" s="34"/>
      <c r="P44" s="42"/>
      <c r="Q44" s="42"/>
      <c r="R44" s="42"/>
    </row>
    <row r="45" spans="4:18" ht="16.5" customHeight="1">
      <c r="D45" s="44">
        <f t="shared" si="6"/>
        <v>240</v>
      </c>
      <c r="E45" s="38">
        <f t="shared" si="3"/>
        <v>513.15</v>
      </c>
      <c r="F45" s="39">
        <f t="shared" si="0"/>
        <v>106.53809105351343</v>
      </c>
      <c r="G45" s="82">
        <f t="shared" si="1"/>
        <v>0.9487479294553249</v>
      </c>
      <c r="H45" s="84">
        <f t="shared" si="2"/>
        <v>4.6685025836778085</v>
      </c>
      <c r="I45" s="40">
        <f t="shared" si="4"/>
        <v>106.88751372514295</v>
      </c>
      <c r="J45" s="86">
        <f t="shared" si="5"/>
        <v>1.003279790994697</v>
      </c>
      <c r="K45" s="32"/>
      <c r="L45" s="32"/>
      <c r="M45" s="43"/>
      <c r="N45" s="41"/>
      <c r="O45" s="34"/>
      <c r="P45" s="42"/>
      <c r="Q45" s="42"/>
      <c r="R45" s="42"/>
    </row>
    <row r="46" spans="4:18" ht="16.5" customHeight="1">
      <c r="D46" s="44">
        <f t="shared" si="6"/>
        <v>270</v>
      </c>
      <c r="E46" s="38">
        <f t="shared" si="3"/>
        <v>543.15</v>
      </c>
      <c r="F46" s="39">
        <f t="shared" si="0"/>
        <v>63.82357142602536</v>
      </c>
      <c r="G46" s="82">
        <f t="shared" si="1"/>
        <v>0.841112031667127</v>
      </c>
      <c r="H46" s="84">
        <f t="shared" si="2"/>
        <v>4.156122580206082</v>
      </c>
      <c r="I46" s="40">
        <f t="shared" si="4"/>
        <v>63.93394372922631</v>
      </c>
      <c r="J46" s="86">
        <f t="shared" si="5"/>
        <v>1.0017293344877898</v>
      </c>
      <c r="K46" s="32"/>
      <c r="L46" s="32"/>
      <c r="M46" s="43"/>
      <c r="N46" s="41"/>
      <c r="O46" s="34"/>
      <c r="P46" s="42"/>
      <c r="Q46" s="42"/>
      <c r="R46" s="42"/>
    </row>
    <row r="47" spans="4:18" ht="16.5" customHeight="1">
      <c r="D47" s="44">
        <f t="shared" si="6"/>
        <v>300</v>
      </c>
      <c r="E47" s="38">
        <f t="shared" si="3"/>
        <v>573.15</v>
      </c>
      <c r="F47" s="39">
        <f t="shared" si="0"/>
        <v>40.46493513602896</v>
      </c>
      <c r="G47" s="82">
        <f t="shared" si="1"/>
        <v>0.7447439588240425</v>
      </c>
      <c r="H47" s="84">
        <f t="shared" si="2"/>
        <v>3.7004357999815705</v>
      </c>
      <c r="I47" s="40">
        <f t="shared" si="4"/>
        <v>40.470489917131054</v>
      </c>
      <c r="J47" s="86">
        <f t="shared" si="5"/>
        <v>1.0001372739405963</v>
      </c>
      <c r="K47" s="32"/>
      <c r="L47" s="32"/>
      <c r="M47" s="43"/>
      <c r="N47" s="41"/>
      <c r="O47" s="34"/>
      <c r="P47" s="42"/>
      <c r="Q47" s="42"/>
      <c r="R47" s="42"/>
    </row>
    <row r="48" spans="4:18" ht="16.5" customHeight="1">
      <c r="D48" s="44">
        <f t="shared" si="6"/>
        <v>330</v>
      </c>
      <c r="E48" s="38">
        <f t="shared" si="3"/>
        <v>603.15</v>
      </c>
      <c r="F48" s="39">
        <f t="shared" si="0"/>
        <v>26.920971769533963</v>
      </c>
      <c r="G48" s="82">
        <f t="shared" si="1"/>
        <v>0.6579623642543315</v>
      </c>
      <c r="H48" s="84">
        <f t="shared" si="2"/>
        <v>3.2929056025475045</v>
      </c>
      <c r="I48" s="40">
        <f t="shared" si="4"/>
        <v>26.889725806511134</v>
      </c>
      <c r="J48" s="86">
        <f t="shared" si="5"/>
        <v>0.9988393449058852</v>
      </c>
      <c r="K48" s="32"/>
      <c r="L48" s="32"/>
      <c r="M48" s="43"/>
      <c r="N48" s="41"/>
      <c r="O48" s="34"/>
      <c r="P48" s="42"/>
      <c r="Q48" s="42"/>
      <c r="R48" s="42"/>
    </row>
    <row r="49" spans="4:18" ht="16.5" customHeight="1">
      <c r="D49" s="44">
        <f t="shared" si="6"/>
        <v>360</v>
      </c>
      <c r="E49" s="38">
        <f t="shared" si="3"/>
        <v>633.15</v>
      </c>
      <c r="F49" s="39">
        <f t="shared" si="0"/>
        <v>18.66421626053062</v>
      </c>
      <c r="G49" s="82">
        <f t="shared" si="1"/>
        <v>0.5794045644791914</v>
      </c>
      <c r="H49" s="84">
        <f t="shared" si="2"/>
        <v>2.92660812169286</v>
      </c>
      <c r="I49" s="40">
        <f t="shared" si="4"/>
        <v>18.626013913828764</v>
      </c>
      <c r="J49" s="86">
        <f t="shared" si="5"/>
        <v>0.9979531770223515</v>
      </c>
      <c r="K49" s="32"/>
      <c r="L49" s="32"/>
      <c r="M49" s="43"/>
      <c r="N49" s="41"/>
      <c r="O49" s="34"/>
      <c r="P49" s="42"/>
      <c r="Q49" s="42"/>
      <c r="R49" s="42"/>
    </row>
    <row r="50" spans="4:18" ht="16.5" customHeight="1">
      <c r="D50" s="44">
        <f t="shared" si="6"/>
        <v>390</v>
      </c>
      <c r="E50" s="38">
        <f t="shared" si="3"/>
        <v>663.15</v>
      </c>
      <c r="F50" s="39">
        <f t="shared" si="0"/>
        <v>13.408240088297216</v>
      </c>
      <c r="G50" s="82">
        <f t="shared" si="1"/>
        <v>0.507954459775315</v>
      </c>
      <c r="H50" s="84">
        <f t="shared" si="2"/>
        <v>2.59586944992616</v>
      </c>
      <c r="I50" s="40">
        <f t="shared" si="4"/>
        <v>13.37450907075591</v>
      </c>
      <c r="J50" s="86">
        <f t="shared" si="5"/>
        <v>0.9974843068650936</v>
      </c>
      <c r="K50" s="32"/>
      <c r="L50" s="32"/>
      <c r="M50" s="43"/>
      <c r="N50" s="41"/>
      <c r="O50" s="34"/>
      <c r="P50" s="42"/>
      <c r="Q50" s="42"/>
      <c r="R50" s="42"/>
    </row>
    <row r="51" spans="4:18" ht="16.5" customHeight="1">
      <c r="D51" s="44">
        <f t="shared" si="6"/>
        <v>420</v>
      </c>
      <c r="E51" s="38">
        <f t="shared" si="3"/>
        <v>693.15</v>
      </c>
      <c r="F51" s="39">
        <f t="shared" si="0"/>
        <v>9.934331909070838</v>
      </c>
      <c r="G51" s="82">
        <f t="shared" si="1"/>
        <v>0.44268917261775953</v>
      </c>
      <c r="H51" s="84">
        <f t="shared" si="2"/>
        <v>2.295996627549482</v>
      </c>
      <c r="I51" s="40">
        <f t="shared" si="4"/>
        <v>9.908349321145415</v>
      </c>
      <c r="J51" s="86">
        <f t="shared" si="5"/>
        <v>0.9973845661526872</v>
      </c>
      <c r="K51" s="32"/>
      <c r="L51" s="32"/>
      <c r="M51" s="43"/>
      <c r="N51" s="41"/>
      <c r="O51" s="34"/>
      <c r="P51" s="42"/>
      <c r="Q51" s="42"/>
      <c r="R51" s="42"/>
    </row>
    <row r="52" spans="4:18" ht="16.5" customHeight="1">
      <c r="D52" s="44">
        <f t="shared" si="6"/>
        <v>450</v>
      </c>
      <c r="E52" s="38">
        <f t="shared" si="3"/>
        <v>723.15</v>
      </c>
      <c r="F52" s="39">
        <f t="shared" si="0"/>
        <v>7.561543088833175</v>
      </c>
      <c r="G52" s="82">
        <f t="shared" si="1"/>
        <v>0.3828389684021296</v>
      </c>
      <c r="H52" s="84">
        <f t="shared" si="2"/>
        <v>2.023075281642885</v>
      </c>
      <c r="I52" s="40">
        <f t="shared" si="4"/>
        <v>7.543273213662547</v>
      </c>
      <c r="J52" s="86">
        <f t="shared" si="5"/>
        <v>0.9975838430124655</v>
      </c>
      <c r="K52" s="32"/>
      <c r="L52" s="32"/>
      <c r="M52" s="43"/>
      <c r="N52" s="41"/>
      <c r="O52" s="34"/>
      <c r="P52" s="42"/>
      <c r="Q52" s="42"/>
      <c r="R52" s="42"/>
    </row>
    <row r="53" spans="4:18" ht="16.5" customHeight="1">
      <c r="D53" s="44">
        <f t="shared" si="6"/>
        <v>480</v>
      </c>
      <c r="E53" s="38">
        <f t="shared" si="3"/>
        <v>753.15</v>
      </c>
      <c r="F53" s="39">
        <f t="shared" si="0"/>
        <v>5.8932957595056035</v>
      </c>
      <c r="G53" s="82">
        <f t="shared" si="1"/>
        <v>0.3277567549624909</v>
      </c>
      <c r="H53" s="84">
        <f t="shared" si="2"/>
        <v>1.7738153928715614</v>
      </c>
      <c r="I53" s="40">
        <f t="shared" si="4"/>
        <v>5.881550128241866</v>
      </c>
      <c r="J53" s="86">
        <f t="shared" si="5"/>
        <v>0.9980069503138728</v>
      </c>
      <c r="K53" s="32"/>
      <c r="L53" s="32"/>
      <c r="M53" s="43"/>
      <c r="N53" s="41"/>
      <c r="O53" s="34"/>
      <c r="P53" s="42"/>
      <c r="Q53" s="42"/>
      <c r="R53" s="42"/>
    </row>
    <row r="54" spans="4:18" ht="16.5" customHeight="1">
      <c r="D54" s="44">
        <f t="shared" si="6"/>
        <v>510</v>
      </c>
      <c r="E54" s="38">
        <f t="shared" si="3"/>
        <v>783.15</v>
      </c>
      <c r="F54" s="39">
        <f t="shared" si="0"/>
        <v>4.68999881581428</v>
      </c>
      <c r="G54" s="82">
        <f t="shared" si="1"/>
        <v>0.27689459235140146</v>
      </c>
      <c r="H54" s="84">
        <f t="shared" si="2"/>
        <v>1.5454323299665313</v>
      </c>
      <c r="I54" s="40">
        <f t="shared" si="4"/>
        <v>4.683349221765364</v>
      </c>
      <c r="J54" s="86">
        <f t="shared" si="5"/>
        <v>0.9985821757509844</v>
      </c>
      <c r="K54" s="32"/>
      <c r="L54" s="32"/>
      <c r="M54" s="43"/>
      <c r="N54" s="41"/>
      <c r="O54" s="34"/>
      <c r="P54" s="42"/>
      <c r="Q54" s="42"/>
      <c r="R54" s="42"/>
    </row>
    <row r="55" spans="4:18" ht="16.5" customHeight="1">
      <c r="D55" s="44">
        <f t="shared" si="6"/>
        <v>540</v>
      </c>
      <c r="E55" s="38">
        <f t="shared" si="3"/>
        <v>813.15</v>
      </c>
      <c r="F55" s="39">
        <f t="shared" si="0"/>
        <v>3.8021020215252457</v>
      </c>
      <c r="G55" s="82">
        <f t="shared" si="1"/>
        <v>0.22978540244727297</v>
      </c>
      <c r="H55" s="84">
        <f t="shared" si="2"/>
        <v>1.335554077353051</v>
      </c>
      <c r="I55" s="40">
        <f t="shared" si="4"/>
        <v>3.799232252696882</v>
      </c>
      <c r="J55" s="86">
        <f t="shared" si="5"/>
        <v>0.9992452151961949</v>
      </c>
      <c r="K55" s="32"/>
      <c r="L55" s="32"/>
      <c r="M55" s="43"/>
      <c r="N55" s="41"/>
      <c r="O55" s="34"/>
      <c r="P55" s="42"/>
      <c r="Q55" s="42"/>
      <c r="R55" s="42"/>
    </row>
    <row r="56" spans="4:18" ht="16.5" customHeight="1">
      <c r="D56" s="44">
        <f t="shared" si="6"/>
        <v>570</v>
      </c>
      <c r="E56" s="38">
        <f t="shared" si="3"/>
        <v>843.15</v>
      </c>
      <c r="F56" s="39">
        <f t="shared" si="0"/>
        <v>3.1334923748990793</v>
      </c>
      <c r="G56" s="82">
        <f t="shared" si="1"/>
        <v>0.1860285832888573</v>
      </c>
      <c r="H56" s="84">
        <f t="shared" si="2"/>
        <v>1.1421481572662222</v>
      </c>
      <c r="I56" s="40">
        <f t="shared" si="4"/>
        <v>3.133306190620327</v>
      </c>
      <c r="J56" s="86">
        <f t="shared" si="5"/>
        <v>0.9999405825014147</v>
      </c>
      <c r="K56" s="32"/>
      <c r="L56" s="32"/>
      <c r="M56" s="43"/>
      <c r="N56" s="41"/>
      <c r="O56" s="34"/>
      <c r="P56" s="42"/>
      <c r="Q56" s="42"/>
      <c r="R56" s="42"/>
    </row>
    <row r="57" spans="4:18" ht="16.5" customHeight="1">
      <c r="D57" s="44">
        <f t="shared" si="6"/>
        <v>600</v>
      </c>
      <c r="E57" s="38">
        <f t="shared" si="3"/>
        <v>873.15</v>
      </c>
      <c r="F57" s="39">
        <f t="shared" si="0"/>
        <v>2.620757842379094</v>
      </c>
      <c r="G57" s="82">
        <f t="shared" si="1"/>
        <v>0.14527858901677826</v>
      </c>
      <c r="H57" s="84">
        <f t="shared" si="2"/>
        <v>0.9634635287639228</v>
      </c>
      <c r="I57" s="40">
        <f t="shared" si="4"/>
        <v>2.622387120272776</v>
      </c>
      <c r="J57" s="86">
        <f t="shared" si="5"/>
        <v>1.0006216819682214</v>
      </c>
      <c r="K57" s="32"/>
      <c r="L57" s="32"/>
      <c r="M57" s="43"/>
      <c r="N57" s="41"/>
      <c r="O57" s="34"/>
      <c r="P57" s="42"/>
      <c r="Q57" s="42"/>
      <c r="R57" s="42"/>
    </row>
    <row r="58" spans="4:18" ht="16.5" customHeight="1">
      <c r="D58" s="44">
        <f t="shared" si="6"/>
        <v>630</v>
      </c>
      <c r="E58" s="38">
        <f t="shared" si="3"/>
        <v>903.15</v>
      </c>
      <c r="F58" s="39">
        <f t="shared" si="0"/>
        <v>2.2210587483550364</v>
      </c>
      <c r="G58" s="82">
        <f t="shared" si="1"/>
        <v>0.10723578586059901</v>
      </c>
      <c r="H58" s="84">
        <f t="shared" si="2"/>
        <v>0.7979839958704464</v>
      </c>
      <c r="I58" s="40">
        <f t="shared" si="4"/>
        <v>2.2238355479202108</v>
      </c>
      <c r="J58" s="86">
        <f t="shared" si="5"/>
        <v>1.0012502143706155</v>
      </c>
      <c r="K58" s="32"/>
      <c r="L58" s="32"/>
      <c r="M58" s="24"/>
      <c r="N58" s="24"/>
      <c r="O58" s="24"/>
      <c r="P58" s="24"/>
      <c r="Q58" s="24"/>
      <c r="R58" s="24"/>
    </row>
    <row r="59" spans="4:18" ht="16.5" customHeight="1">
      <c r="D59" s="44">
        <f t="shared" si="6"/>
        <v>660</v>
      </c>
      <c r="E59" s="38">
        <f t="shared" si="3"/>
        <v>933.15</v>
      </c>
      <c r="F59" s="39">
        <f t="shared" si="0"/>
        <v>1.9048257720223105</v>
      </c>
      <c r="G59" s="82">
        <f t="shared" si="1"/>
        <v>0.07163907196056374</v>
      </c>
      <c r="H59" s="84">
        <f t="shared" si="2"/>
        <v>0.6443905461400979</v>
      </c>
      <c r="I59" s="40">
        <f t="shared" si="4"/>
        <v>1.9082454917762581</v>
      </c>
      <c r="J59" s="86">
        <f t="shared" si="5"/>
        <v>1.0017952926740996</v>
      </c>
      <c r="K59" s="32"/>
      <c r="L59" s="32"/>
      <c r="M59" s="24"/>
      <c r="N59" s="24"/>
      <c r="O59" s="24"/>
      <c r="P59" s="24"/>
      <c r="Q59" s="24"/>
      <c r="R59" s="24"/>
    </row>
    <row r="60" spans="4:18" ht="16.5" customHeight="1">
      <c r="D60" s="44">
        <f t="shared" si="6"/>
        <v>690</v>
      </c>
      <c r="E60" s="38">
        <f t="shared" si="3"/>
        <v>963.15</v>
      </c>
      <c r="F60" s="39">
        <f t="shared" si="0"/>
        <v>1.6512468700921579</v>
      </c>
      <c r="G60" s="82">
        <f t="shared" si="1"/>
        <v>0.03825987644707474</v>
      </c>
      <c r="H60" s="84">
        <f t="shared" si="2"/>
        <v>0.501530681374726</v>
      </c>
      <c r="I60" s="40">
        <f t="shared" si="4"/>
        <v>1.6549332362704825</v>
      </c>
      <c r="J60" s="86">
        <f t="shared" si="5"/>
        <v>1.002232474286609</v>
      </c>
      <c r="K60" s="32"/>
      <c r="L60" s="32"/>
      <c r="M60" s="32"/>
      <c r="N60" s="32"/>
      <c r="O60" s="32"/>
      <c r="P60" s="32"/>
      <c r="Q60" s="32"/>
      <c r="R60" s="24"/>
    </row>
    <row r="61" spans="4:18" ht="16.5" customHeight="1">
      <c r="D61" s="44">
        <f t="shared" si="6"/>
        <v>720</v>
      </c>
      <c r="E61" s="38">
        <f t="shared" si="3"/>
        <v>993.15</v>
      </c>
      <c r="F61" s="39">
        <f t="shared" si="0"/>
        <v>1.445410362318465</v>
      </c>
      <c r="G61" s="82">
        <f t="shared" si="1"/>
        <v>0.0068972461360319315</v>
      </c>
      <c r="H61" s="84">
        <f t="shared" si="2"/>
        <v>0.368393269011147</v>
      </c>
      <c r="I61" s="40">
        <f t="shared" si="4"/>
        <v>1.4490857797208139</v>
      </c>
      <c r="J61" s="86">
        <f t="shared" si="5"/>
        <v>1.0025428193253392</v>
      </c>
      <c r="K61" s="32"/>
      <c r="L61" s="32"/>
      <c r="M61" s="32"/>
      <c r="N61" s="32"/>
      <c r="O61" s="32"/>
      <c r="P61" s="32"/>
      <c r="Q61" s="32"/>
      <c r="R61" s="24"/>
    </row>
    <row r="62" spans="4:18" ht="16.5" customHeight="1">
      <c r="D62" s="44">
        <f t="shared" si="6"/>
        <v>750</v>
      </c>
      <c r="E62" s="38">
        <f t="shared" si="3"/>
        <v>1023.15</v>
      </c>
      <c r="F62" s="39">
        <f t="shared" si="0"/>
        <v>1.2764563813722718</v>
      </c>
      <c r="G62" s="82">
        <f t="shared" si="1"/>
        <v>-0.02262620339148702</v>
      </c>
      <c r="H62" s="84">
        <f t="shared" si="2"/>
        <v>0.2440877866277367</v>
      </c>
      <c r="I62" s="40">
        <f t="shared" si="4"/>
        <v>1.2799181676226938</v>
      </c>
      <c r="J62" s="86">
        <f t="shared" si="5"/>
        <v>1.0027120286293687</v>
      </c>
      <c r="K62" s="32"/>
      <c r="L62" s="32"/>
      <c r="M62" s="24"/>
      <c r="N62" s="24"/>
      <c r="O62" s="24"/>
      <c r="P62" s="24"/>
      <c r="Q62" s="24"/>
      <c r="R62" s="24"/>
    </row>
    <row r="63" spans="4:18" ht="16.5" customHeight="1">
      <c r="D63" s="44">
        <f t="shared" si="6"/>
        <v>780</v>
      </c>
      <c r="E63" s="38">
        <f t="shared" si="3"/>
        <v>1053.15</v>
      </c>
      <c r="F63" s="39">
        <f t="shared" si="0"/>
        <v>1.13635649606057</v>
      </c>
      <c r="G63" s="82">
        <f t="shared" si="1"/>
        <v>-0.05046764468499276</v>
      </c>
      <c r="H63" s="84">
        <f t="shared" si="2"/>
        <v>0.12782708802344553</v>
      </c>
      <c r="I63" s="40">
        <f t="shared" si="4"/>
        <v>1.1394583898407387</v>
      </c>
      <c r="J63" s="86">
        <f t="shared" si="5"/>
        <v>1.0027296836784247</v>
      </c>
      <c r="K63" s="32"/>
      <c r="L63" s="32"/>
      <c r="M63" s="24"/>
      <c r="N63" s="24"/>
      <c r="O63" s="24"/>
      <c r="P63" s="24"/>
      <c r="Q63" s="24"/>
      <c r="R63" s="24"/>
    </row>
    <row r="64" spans="4:18" ht="16.5" customHeight="1">
      <c r="D64" s="44">
        <f t="shared" si="6"/>
        <v>810</v>
      </c>
      <c r="E64" s="38">
        <f t="shared" si="3"/>
        <v>1083.15</v>
      </c>
      <c r="F64" s="39">
        <f t="shared" si="0"/>
        <v>1.019092995590415</v>
      </c>
      <c r="G64" s="82">
        <f t="shared" si="1"/>
        <v>-0.07676683746480184</v>
      </c>
      <c r="H64" s="84">
        <f t="shared" si="2"/>
        <v>0.01891301169614141</v>
      </c>
      <c r="I64" s="40">
        <f t="shared" si="4"/>
        <v>1.0217310126993444</v>
      </c>
      <c r="J64" s="86">
        <f t="shared" si="5"/>
        <v>1.0025885931120555</v>
      </c>
      <c r="K64" s="32"/>
      <c r="L64" s="32"/>
      <c r="M64" s="24"/>
      <c r="N64" s="24"/>
      <c r="O64" s="24"/>
      <c r="P64" s="24"/>
      <c r="Q64" s="24"/>
      <c r="R64" s="24"/>
    </row>
    <row r="65" spans="4:18" ht="16.5" customHeight="1">
      <c r="D65" s="44">
        <f t="shared" si="6"/>
        <v>840</v>
      </c>
      <c r="E65" s="38">
        <f t="shared" si="3"/>
        <v>1113.15</v>
      </c>
      <c r="F65" s="39">
        <f t="shared" si="0"/>
        <v>0.9200974399111582</v>
      </c>
      <c r="G65" s="82">
        <f t="shared" si="1"/>
        <v>-0.10164847504828645</v>
      </c>
      <c r="H65" s="84">
        <f t="shared" si="2"/>
        <v>-0.08327570160052011</v>
      </c>
      <c r="I65" s="40">
        <f t="shared" si="4"/>
        <v>0.9221991644797198</v>
      </c>
      <c r="J65" s="86">
        <f t="shared" si="5"/>
        <v>1.0022842412959703</v>
      </c>
      <c r="K65" s="32"/>
      <c r="L65" s="32"/>
      <c r="M65" s="24"/>
      <c r="N65" s="24"/>
      <c r="O65" s="24"/>
      <c r="P65" s="24"/>
      <c r="Q65" s="24"/>
      <c r="R65" s="24"/>
    </row>
    <row r="66" spans="4:18" ht="16.5" customHeight="1">
      <c r="D66" s="44">
        <f t="shared" si="6"/>
        <v>870</v>
      </c>
      <c r="E66" s="38">
        <f t="shared" si="3"/>
        <v>1143.15</v>
      </c>
      <c r="F66" s="39">
        <f t="shared" si="0"/>
        <v>0.8358604513676218</v>
      </c>
      <c r="G66" s="82">
        <f t="shared" si="1"/>
        <v>-0.12522416130866476</v>
      </c>
      <c r="H66" s="84">
        <f t="shared" si="2"/>
        <v>-0.17929360403223987</v>
      </c>
      <c r="I66" s="40">
        <f t="shared" si="4"/>
        <v>0.837376977973032</v>
      </c>
      <c r="J66" s="86">
        <f t="shared" si="5"/>
        <v>1.0018143298955333</v>
      </c>
      <c r="K66" s="32"/>
      <c r="L66" s="32"/>
      <c r="M66" s="24"/>
      <c r="N66" s="24"/>
      <c r="O66" s="24"/>
      <c r="P66" s="24"/>
      <c r="Q66" s="24"/>
      <c r="R66" s="24"/>
    </row>
    <row r="67" spans="4:18" ht="16.5" customHeight="1">
      <c r="D67" s="44">
        <f t="shared" si="6"/>
        <v>900</v>
      </c>
      <c r="E67" s="38">
        <f t="shared" si="3"/>
        <v>1173.15</v>
      </c>
      <c r="F67" s="39">
        <f t="shared" si="0"/>
        <v>0.7636565105199229</v>
      </c>
      <c r="G67" s="82">
        <f t="shared" si="1"/>
        <v>-0.14759408430294518</v>
      </c>
      <c r="H67" s="84">
        <f t="shared" si="2"/>
        <v>-0.2696371844734146</v>
      </c>
      <c r="I67" s="40">
        <f t="shared" si="4"/>
        <v>0.7645564046117894</v>
      </c>
      <c r="J67" s="86">
        <f t="shared" si="5"/>
        <v>1.001178401649786</v>
      </c>
      <c r="K67" s="32"/>
      <c r="L67" s="32"/>
      <c r="M67" s="24"/>
      <c r="N67" s="24"/>
      <c r="O67" s="24"/>
      <c r="P67" s="24"/>
      <c r="Q67" s="24"/>
      <c r="R67" s="24"/>
    </row>
    <row r="68" spans="4:18" ht="16.5" customHeight="1">
      <c r="D68" s="44">
        <f t="shared" si="6"/>
        <v>930</v>
      </c>
      <c r="E68" s="38">
        <f t="shared" si="3"/>
        <v>1203.15</v>
      </c>
      <c r="F68" s="39">
        <f t="shared" si="0"/>
        <v>0.7013471944179023</v>
      </c>
      <c r="G68" s="82">
        <f t="shared" si="1"/>
        <v>-0.16884843951294526</v>
      </c>
      <c r="H68" s="84">
        <f t="shared" si="2"/>
        <v>-0.35475223008409656</v>
      </c>
      <c r="I68" s="40">
        <f t="shared" si="4"/>
        <v>0.7016119777322629</v>
      </c>
      <c r="J68" s="86">
        <f t="shared" si="5"/>
        <v>1.0003775352870419</v>
      </c>
      <c r="K68" s="53"/>
      <c r="L68" s="23"/>
      <c r="M68" s="24"/>
      <c r="N68" s="24"/>
      <c r="O68" s="24"/>
      <c r="P68" s="24"/>
      <c r="Q68" s="24"/>
      <c r="R68" s="24"/>
    </row>
    <row r="69" spans="4:12" ht="16.5" customHeight="1">
      <c r="D69" s="44">
        <f t="shared" si="6"/>
        <v>960</v>
      </c>
      <c r="E69" s="38">
        <f t="shared" si="3"/>
        <v>1233.15</v>
      </c>
      <c r="F69" s="39">
        <f t="shared" si="0"/>
        <v>0.6472386975959095</v>
      </c>
      <c r="G69" s="82">
        <f t="shared" si="1"/>
        <v>-0.18906864533917211</v>
      </c>
      <c r="H69" s="84">
        <f t="shared" si="2"/>
        <v>-0.435040122695448</v>
      </c>
      <c r="I69" s="40">
        <f t="shared" si="4"/>
        <v>0.6468594811380716</v>
      </c>
      <c r="J69" s="86">
        <f t="shared" si="5"/>
        <v>0.9994141010739215</v>
      </c>
      <c r="K69" s="32"/>
      <c r="L69" s="23"/>
    </row>
    <row r="70" spans="4:12" ht="16.5" customHeight="1">
      <c r="D70" s="44">
        <f t="shared" si="6"/>
        <v>990</v>
      </c>
      <c r="E70" s="38">
        <f t="shared" si="3"/>
        <v>1263.15</v>
      </c>
      <c r="F70" s="39">
        <f t="shared" si="0"/>
        <v>0.5999774270958621</v>
      </c>
      <c r="G70" s="82">
        <f t="shared" si="1"/>
        <v>-0.20832838538574205</v>
      </c>
      <c r="H70" s="84">
        <f t="shared" si="2"/>
        <v>-0.5108632459805938</v>
      </c>
      <c r="I70" s="40">
        <f t="shared" si="4"/>
        <v>0.5989524061168368</v>
      </c>
      <c r="J70" s="86">
        <f t="shared" si="5"/>
        <v>0.9982915674278167</v>
      </c>
      <c r="K70" s="32"/>
      <c r="L70" s="23"/>
    </row>
    <row r="71" spans="4:12" ht="16.5" customHeight="1">
      <c r="D71" s="44">
        <f t="shared" si="6"/>
        <v>1020</v>
      </c>
      <c r="E71" s="38">
        <f t="shared" si="3"/>
        <v>1293.15</v>
      </c>
      <c r="F71" s="39">
        <f t="shared" si="0"/>
        <v>0.5584726417602551</v>
      </c>
      <c r="G71" s="82">
        <f t="shared" si="1"/>
        <v>-0.2266945056644628</v>
      </c>
      <c r="H71" s="84">
        <f t="shared" si="2"/>
        <v>-0.5825496468826243</v>
      </c>
      <c r="I71" s="40">
        <f t="shared" si="4"/>
        <v>0.5568052379781563</v>
      </c>
      <c r="J71" s="86">
        <f t="shared" si="5"/>
        <v>0.9970143501088194</v>
      </c>
      <c r="K71" s="32"/>
      <c r="L71" s="32"/>
    </row>
    <row r="72" spans="4:12" ht="16.5" customHeight="1">
      <c r="D72" s="44">
        <f t="shared" si="6"/>
        <v>1050</v>
      </c>
      <c r="E72" s="38">
        <f t="shared" si="3"/>
        <v>1323.15</v>
      </c>
      <c r="F72" s="39">
        <f t="shared" si="0"/>
        <v>0.5218385297803597</v>
      </c>
      <c r="G72" s="82">
        <f t="shared" si="1"/>
        <v>-0.24422778974417114</v>
      </c>
      <c r="H72" s="84">
        <f t="shared" si="2"/>
        <v>-0.6503970688745497</v>
      </c>
      <c r="I72" s="40">
        <f t="shared" si="4"/>
        <v>0.5195360198647949</v>
      </c>
      <c r="J72" s="86">
        <f t="shared" si="5"/>
        <v>0.9955876966069679</v>
      </c>
      <c r="K72" s="32"/>
      <c r="L72" s="32"/>
    </row>
    <row r="73" spans="4:10" ht="12">
      <c r="D73" s="46"/>
      <c r="E73" s="48"/>
      <c r="F73" s="48"/>
      <c r="G73" s="48"/>
      <c r="H73" s="47"/>
      <c r="J73" s="87"/>
    </row>
    <row r="74" spans="4:8" ht="12">
      <c r="D74" s="46"/>
      <c r="E74" s="48"/>
      <c r="F74" s="48"/>
      <c r="G74" s="48"/>
      <c r="H74" s="47"/>
    </row>
    <row r="75" spans="4:8" ht="12">
      <c r="D75" s="46"/>
      <c r="E75" s="48"/>
      <c r="F75" s="48"/>
      <c r="G75" s="48"/>
      <c r="H75" s="47"/>
    </row>
    <row r="76" spans="4:8" ht="12">
      <c r="D76" s="46"/>
      <c r="E76" s="48"/>
      <c r="F76" s="48"/>
      <c r="G76" s="48"/>
      <c r="H76" s="47"/>
    </row>
    <row r="77" spans="4:8" ht="12">
      <c r="D77" s="46"/>
      <c r="E77" s="48"/>
      <c r="F77" s="48"/>
      <c r="G77" s="48"/>
      <c r="H77" s="47"/>
    </row>
    <row r="78" spans="4:8" ht="12">
      <c r="D78" s="46"/>
      <c r="E78" s="48"/>
      <c r="F78" s="48"/>
      <c r="G78" s="48"/>
      <c r="H78" s="47"/>
    </row>
    <row r="79" spans="4:8" ht="12">
      <c r="D79" s="46"/>
      <c r="E79" s="48"/>
      <c r="F79" s="48"/>
      <c r="G79" s="48"/>
      <c r="H79" s="47"/>
    </row>
    <row r="80" spans="4:7" ht="12">
      <c r="D80" s="46"/>
      <c r="E80" s="48"/>
      <c r="F80" s="48"/>
      <c r="G80" s="48"/>
    </row>
    <row r="81" spans="4:7" ht="12">
      <c r="D81" s="46"/>
      <c r="E81" s="45"/>
      <c r="F81" s="45"/>
      <c r="G81" s="45"/>
    </row>
  </sheetData>
  <mergeCells count="2">
    <mergeCell ref="E3:G3"/>
    <mergeCell ref="H3:J3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I16"/>
  <sheetViews>
    <sheetView zoomScale="90" zoomScaleNormal="90" workbookViewId="0" topLeftCell="A1">
      <selection activeCell="L7" sqref="L7"/>
    </sheetView>
  </sheetViews>
  <sheetFormatPr defaultColWidth="9.00390625" defaultRowHeight="13.5"/>
  <cols>
    <col min="1" max="1" width="8.375" style="1" customWidth="1"/>
    <col min="2" max="3" width="9.00390625" style="1" customWidth="1"/>
    <col min="4" max="9" width="9.625" style="1" customWidth="1"/>
    <col min="10" max="16384" width="9.00390625" style="1" customWidth="1"/>
  </cols>
  <sheetData>
    <row r="1" ht="19.5" customHeight="1"/>
    <row r="2" ht="19.5" customHeight="1"/>
    <row r="3" spans="2:3" ht="19.5" customHeight="1">
      <c r="B3" s="1" t="s">
        <v>145</v>
      </c>
      <c r="C3" s="1" t="s">
        <v>146</v>
      </c>
    </row>
    <row r="4" ht="19.5" customHeight="1"/>
    <row r="5" spans="2:9" ht="19.5" customHeight="1">
      <c r="B5" s="58" t="s">
        <v>118</v>
      </c>
      <c r="C5" s="50"/>
      <c r="D5" s="50" t="s">
        <v>7</v>
      </c>
      <c r="E5" s="50" t="s">
        <v>46</v>
      </c>
      <c r="F5" s="50" t="s">
        <v>47</v>
      </c>
      <c r="G5" s="50" t="s">
        <v>48</v>
      </c>
      <c r="H5" s="50" t="s">
        <v>49</v>
      </c>
      <c r="I5" s="50" t="s">
        <v>100</v>
      </c>
    </row>
    <row r="6" spans="2:9" ht="19.5" customHeight="1">
      <c r="B6" s="58" t="s">
        <v>117</v>
      </c>
      <c r="C6" s="50"/>
      <c r="D6" s="50" t="s">
        <v>9</v>
      </c>
      <c r="E6" s="50" t="s">
        <v>9</v>
      </c>
      <c r="F6" s="50" t="s">
        <v>9</v>
      </c>
      <c r="G6" s="50" t="s">
        <v>9</v>
      </c>
      <c r="H6" s="50" t="s">
        <v>9</v>
      </c>
      <c r="I6" s="50"/>
    </row>
    <row r="7" spans="2:9" ht="19.5" customHeight="1">
      <c r="B7" s="58" t="s">
        <v>50</v>
      </c>
      <c r="C7" s="58" t="s">
        <v>43</v>
      </c>
      <c r="D7" s="64">
        <v>-110.54</v>
      </c>
      <c r="E7" s="60">
        <v>-393.51</v>
      </c>
      <c r="F7" s="60">
        <v>0</v>
      </c>
      <c r="G7" s="60">
        <v>-74.85</v>
      </c>
      <c r="H7" s="60">
        <v>-241.8</v>
      </c>
      <c r="I7" s="59">
        <v>0</v>
      </c>
    </row>
    <row r="8" spans="2:9" ht="19.5" customHeight="1">
      <c r="B8" s="58" t="s">
        <v>51</v>
      </c>
      <c r="C8" s="58" t="s">
        <v>43</v>
      </c>
      <c r="D8" s="60">
        <v>-137.2</v>
      </c>
      <c r="E8" s="60">
        <v>-394.4</v>
      </c>
      <c r="F8" s="60">
        <v>0</v>
      </c>
      <c r="G8" s="60">
        <v>-50.84</v>
      </c>
      <c r="H8" s="60">
        <v>-228.6</v>
      </c>
      <c r="I8" s="59">
        <v>0</v>
      </c>
    </row>
    <row r="9" spans="2:9" ht="19.5" customHeight="1">
      <c r="B9" s="58" t="s">
        <v>101</v>
      </c>
      <c r="C9" s="58" t="s">
        <v>44</v>
      </c>
      <c r="D9" s="60">
        <v>197.54</v>
      </c>
      <c r="E9" s="60">
        <v>213.69</v>
      </c>
      <c r="F9" s="61">
        <v>130.57</v>
      </c>
      <c r="G9" s="60">
        <v>186.27</v>
      </c>
      <c r="H9" s="61">
        <v>188.72</v>
      </c>
      <c r="I9" s="59">
        <v>0</v>
      </c>
    </row>
    <row r="10" spans="2:9" ht="19.5" customHeight="1">
      <c r="B10" s="58" t="s">
        <v>8</v>
      </c>
      <c r="C10" s="58" t="s">
        <v>44</v>
      </c>
      <c r="D10" s="62">
        <v>29.556</v>
      </c>
      <c r="E10" s="62">
        <v>27.437</v>
      </c>
      <c r="F10" s="63">
        <v>25.399</v>
      </c>
      <c r="G10" s="62">
        <v>34.942</v>
      </c>
      <c r="H10" s="63">
        <v>33.933</v>
      </c>
      <c r="I10" s="59">
        <v>0</v>
      </c>
    </row>
    <row r="11" spans="2:9" ht="19.5" customHeight="1">
      <c r="B11" s="58" t="s">
        <v>102</v>
      </c>
      <c r="C11" s="58" t="s">
        <v>44</v>
      </c>
      <c r="D11" s="90">
        <v>-0.0065807</v>
      </c>
      <c r="E11" s="90">
        <v>0.042315</v>
      </c>
      <c r="F11" s="90">
        <v>0.02017</v>
      </c>
      <c r="G11" s="90">
        <v>-0.039957</v>
      </c>
      <c r="H11" s="90">
        <v>-0.0084186</v>
      </c>
      <c r="I11" s="59">
        <v>0</v>
      </c>
    </row>
    <row r="12" spans="2:9" ht="19.5" customHeight="1">
      <c r="B12" s="58" t="s">
        <v>103</v>
      </c>
      <c r="C12" s="58" t="s">
        <v>44</v>
      </c>
      <c r="D12" s="90">
        <v>2.013E-05</v>
      </c>
      <c r="E12" s="90">
        <v>-1.9555E-05</v>
      </c>
      <c r="F12" s="90">
        <v>-3.8549E-05</v>
      </c>
      <c r="G12" s="90">
        <v>0.00019184</v>
      </c>
      <c r="H12" s="90">
        <v>2.9906E-05</v>
      </c>
      <c r="I12" s="59">
        <v>0</v>
      </c>
    </row>
    <row r="13" spans="2:9" ht="19.5" customHeight="1">
      <c r="B13" s="58" t="s">
        <v>104</v>
      </c>
      <c r="C13" s="58" t="s">
        <v>44</v>
      </c>
      <c r="D13" s="90">
        <v>-1.2227E-08</v>
      </c>
      <c r="E13" s="90">
        <v>3.9968E-09</v>
      </c>
      <c r="F13" s="90">
        <v>3.188E-08</v>
      </c>
      <c r="G13" s="90">
        <v>-1.5303E-07</v>
      </c>
      <c r="H13" s="90">
        <v>-1.7825E-08</v>
      </c>
      <c r="I13" s="59">
        <v>0</v>
      </c>
    </row>
    <row r="14" spans="2:9" ht="19.5" customHeight="1">
      <c r="B14" s="58" t="s">
        <v>105</v>
      </c>
      <c r="C14" s="58" t="s">
        <v>44</v>
      </c>
      <c r="D14" s="90">
        <v>2.2617E-12</v>
      </c>
      <c r="E14" s="90">
        <v>-2.9872E-13</v>
      </c>
      <c r="F14" s="90">
        <v>-8.7585E-12</v>
      </c>
      <c r="G14" s="90">
        <v>3.9321E-11</v>
      </c>
      <c r="H14" s="90">
        <v>3.6934E-12</v>
      </c>
      <c r="I14" s="59">
        <v>0</v>
      </c>
    </row>
    <row r="15" spans="2:9" ht="19.5" customHeight="1">
      <c r="B15" s="51"/>
      <c r="C15" s="51"/>
      <c r="D15" s="51"/>
      <c r="E15" s="51"/>
      <c r="F15" s="51"/>
      <c r="G15" s="51"/>
      <c r="H15" s="51"/>
      <c r="I15" s="51"/>
    </row>
    <row r="16" spans="2:6" ht="19.5" customHeight="1">
      <c r="B16" s="94" t="s">
        <v>106</v>
      </c>
      <c r="C16" s="95"/>
      <c r="D16" s="95"/>
      <c r="E16" s="95"/>
      <c r="F16" s="96"/>
    </row>
  </sheetData>
  <mergeCells count="1">
    <mergeCell ref="B16:F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反応平衡定数計算</dc:title>
  <dc:subject/>
  <dc:creator> </dc:creator>
  <cp:keywords/>
  <dc:description/>
  <cp:lastModifiedBy> </cp:lastModifiedBy>
  <cp:lastPrinted>2004-08-13T09:44:34Z</cp:lastPrinted>
  <dcterms:created xsi:type="dcterms:W3CDTF">2003-10-26T23:43:07Z</dcterms:created>
  <dcterms:modified xsi:type="dcterms:W3CDTF">2008-09-08T23:48:26Z</dcterms:modified>
  <cp:category/>
  <cp:version/>
  <cp:contentType/>
  <cp:contentStatus/>
</cp:coreProperties>
</file>